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<sst xmlns="http://schemas.openxmlformats.org/spreadsheetml/2006/main" count="1257" uniqueCount="118">
  <si>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</si>
  <si>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</si>
  <si>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</si>
  <si>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</si>
  <si>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</si>
  <si>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</si>
  <si>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</si>
  <si>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</si>
  <si>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</si>
  <si>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</si>
  <si>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</si>
  <si>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</si>
  <si>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</si>
  <si>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</si>
  <si>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</si>
  <si>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</si>
  <si>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</si>
  <si>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</si>
  <si>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</si>
  <si>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</si>
  <si>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</si>
  <si>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</si>
  <si>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</si>
  <si>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</si>
  <si>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</si>
  <si>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</si>
  <si>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</si>
  <si>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</si>
  <si>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</si>
  <si>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</si>
  <si>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</si>
  <si>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</si>
  <si>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</si>
  <si>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</si>
  <si>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</si>
  <si>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</si>
  <si>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</si>
  <si>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</si>
  <si>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</si>
  <si>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</si>
  <si>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</si>
  <si>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</si>
  <si>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</si>
  <si>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</si>
  <si>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</si>
  <si>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</si>
  <si>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</si>
  <si>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</si>
  <si>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</si>
  <si>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</si>
  <si>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</si>
  <si>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</si>
  <si>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</si>
  <si>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</si>
  <si>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</si>
  <si>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</si>
  <si>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</si>
  <si>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</si>
  <si>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</si>
  <si>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</si>
  <si>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</si>
  <si>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</si>
  <si>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</si>
  <si>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</si>
  <si>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</si>
  <si>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</si>
  <si>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</si>
  <si>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</si>
  <si>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</si>
  <si>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</si>
  <si>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</si>
  <si>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</si>
  <si>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</si>
  <si>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</si>
  <si>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</si>
  <si>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</si>
  <si>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</si>
  <si>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</si>
  <si>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</si>
  <si>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</si>
  <si>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</si>
  <si>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</si>
  <si>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</si>
  <si>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</si>
  <si>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</si>
  <si>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</si>
  <si>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</si>
  <si>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</si>
  <si>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</si>
  <si>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</si>
  <si>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</si>
  <si>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</si>
  <si>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</si>
  <si>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</si>
  <si>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</si>
  <si>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</si>
  <si>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</si>
  <si>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</si>
  <si>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</si>
  <si>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</si>
  <si>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</si>
  <si>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</si>
  <si>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</si>
  <si>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</si>
  <si>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</si>
  <si>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</si>
  <si>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</si>
  <si>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</si>
  <si>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</si>
  <si>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</si>
  <si>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</si>
  <si>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</si>
  <si>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</si>
  <si>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</si>
  <si>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</si>
  <si>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</si>
  <si>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</si>
  <si>
    <t>17,,25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</si>
</sst>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82" fontId="0" fillId="0" borderId="3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75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0" fillId="0" borderId="7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83" fontId="0" fillId="0" borderId="38" xfId="0" applyNumberFormat="1" applyFill="1" applyBorder="1" applyAlignment="1">
      <alignment horizontal="center" vertical="center"/>
    </xf>
    <xf numFmtId="3" fontId="2" fillId="0" borderId="77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4" fontId="0" fillId="0" borderId="7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77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17" xfId="0" applyNumberFormat="1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6" xfId="0" applyNumberFormat="1" applyFill="1" applyBorder="1" applyAlignment="1">
      <alignment horizontal="center" vertical="center"/>
    </xf>
    <xf numFmtId="4" fontId="0" fillId="20" borderId="45" xfId="0" applyNumberFormat="1" applyFill="1" applyBorder="1" applyAlignment="1">
      <alignment horizontal="center" vertical="center"/>
    </xf>
    <xf numFmtId="4" fontId="0" fillId="20" borderId="30" xfId="0" applyNumberFormat="1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29" xfId="0" applyNumberFormat="1" applyFill="1" applyBorder="1" applyAlignment="1">
      <alignment horizontal="center" vertical="center"/>
    </xf>
    <xf numFmtId="4" fontId="0" fillId="20" borderId="46" xfId="0" applyNumberFormat="1" applyFill="1" applyBorder="1" applyAlignment="1">
      <alignment horizontal="center" vertical="center"/>
    </xf>
    <xf numFmtId="4" fontId="0" fillId="20" borderId="81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53" xfId="0" applyNumberFormat="1" applyFill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79" xfId="0" applyNumberForma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3" fontId="0" fillId="0" borderId="39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89" xfId="0" applyNumberFormat="1" applyFill="1" applyBorder="1" applyAlignment="1">
      <alignment horizontal="center" vertical="center"/>
    </xf>
    <xf numFmtId="4" fontId="0" fillId="20" borderId="12" xfId="0" applyNumberFormat="1" applyFill="1" applyBorder="1" applyAlignment="1">
      <alignment horizontal="center" vertical="center"/>
    </xf>
    <xf numFmtId="4" fontId="0" fillId="20" borderId="13" xfId="0" applyNumberFormat="1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4" fontId="0" fillId="20" borderId="90" xfId="0" applyNumberFormat="1" applyFill="1" applyBorder="1" applyAlignment="1">
      <alignment horizontal="center" vertical="center"/>
    </xf>
    <xf numFmtId="4" fontId="0" fillId="20" borderId="91" xfId="0" applyNumberFormat="1" applyFill="1" applyBorder="1" applyAlignment="1">
      <alignment horizontal="center" vertical="center"/>
    </xf>
    <xf numFmtId="4" fontId="0" fillId="20" borderId="92" xfId="0" applyNumberFormat="1" applyFill="1" applyBorder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2" fontId="10" fillId="0" borderId="56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5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8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51" xfId="0" applyNumberFormat="1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9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3" fontId="35" fillId="20" borderId="73" xfId="0" applyNumberFormat="1" applyFont="1" applyFill="1" applyBorder="1" applyAlignment="1">
      <alignment horizontal="center" vertical="center"/>
    </xf>
    <xf numFmtId="3" fontId="35" fillId="20" borderId="30" xfId="0" applyNumberFormat="1" applyFont="1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35" fillId="20" borderId="50" xfId="0" applyNumberFormat="1" applyFont="1" applyFill="1" applyBorder="1" applyAlignment="1">
      <alignment horizontal="center" vertical="center"/>
    </xf>
    <xf numFmtId="3" fontId="35" fillId="20" borderId="50" xfId="0" applyNumberFormat="1" applyFont="1" applyFill="1" applyBorder="1" applyAlignment="1">
      <alignment horizontal="center" vertical="center"/>
    </xf>
    <xf numFmtId="4" fontId="35" fillId="20" borderId="81" xfId="0" applyNumberFormat="1" applyFont="1" applyFill="1" applyBorder="1" applyAlignment="1">
      <alignment horizontal="center" vertical="center"/>
    </xf>
    <xf numFmtId="4" fontId="35" fillId="20" borderId="53" xfId="0" applyNumberFormat="1" applyFont="1" applyFill="1" applyBorder="1" applyAlignment="1">
      <alignment horizontal="center" vertical="center"/>
    </xf>
    <xf numFmtId="0" fontId="35" fillId="20" borderId="46" xfId="0" applyFont="1" applyFill="1" applyBorder="1" applyAlignment="1">
      <alignment horizontal="center" vertical="center"/>
    </xf>
    <xf numFmtId="0" fontId="35" fillId="20" borderId="3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5" fillId="20" borderId="50" xfId="0" applyFont="1" applyFill="1" applyBorder="1" applyAlignment="1">
      <alignment horizontal="center" vertical="center"/>
    </xf>
    <xf numFmtId="4" fontId="35" fillId="20" borderId="39" xfId="0" applyNumberFormat="1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0" fillId="0" borderId="64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5" fillId="20" borderId="22" xfId="0" applyFont="1" applyFill="1" applyBorder="1" applyAlignment="1">
      <alignment horizontal="center" vertical="center"/>
    </xf>
    <xf numFmtId="0" fontId="35" fillId="20" borderId="23" xfId="0" applyFont="1" applyFill="1" applyBorder="1" applyAlignment="1">
      <alignment horizontal="center" vertical="center"/>
    </xf>
    <xf numFmtId="0" fontId="35" fillId="20" borderId="7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79" xfId="0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0">
      <selection activeCell="C34" sqref="C3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21" customFormat="1" ht="14.25" customHeight="1">
      <c r="A1" s="19" t="s">
        <v>41</v>
      </c>
      <c r="B1" s="17" t="s">
        <v>36</v>
      </c>
      <c r="C1" s="17"/>
      <c r="E1" s="18">
        <v>50964</v>
      </c>
      <c r="F1" s="18"/>
      <c r="G1" s="18"/>
      <c r="H1" s="19" t="s">
        <v>29</v>
      </c>
      <c r="I1" s="19"/>
      <c r="J1" s="19"/>
      <c r="K1" s="26">
        <v>2200</v>
      </c>
    </row>
    <row r="2" spans="1:11" s="21" customFormat="1" ht="14.25" customHeight="1">
      <c r="A2" s="17" t="s">
        <v>1</v>
      </c>
      <c r="B2" s="17" t="s">
        <v>37</v>
      </c>
      <c r="C2" s="17"/>
      <c r="D2" s="18"/>
      <c r="E2" s="18">
        <v>50963</v>
      </c>
      <c r="F2" s="18"/>
      <c r="G2" s="18"/>
      <c r="H2" s="19" t="s">
        <v>2</v>
      </c>
      <c r="I2" s="19"/>
      <c r="J2" s="19"/>
      <c r="K2" s="21">
        <v>15</v>
      </c>
    </row>
    <row r="3" spans="1:11" s="21" customFormat="1" ht="14.25" customHeight="1">
      <c r="A3" s="17" t="s">
        <v>0</v>
      </c>
      <c r="B3" s="17" t="s">
        <v>38</v>
      </c>
      <c r="C3" s="17"/>
      <c r="D3" s="18"/>
      <c r="E3" s="18"/>
      <c r="F3" s="18"/>
      <c r="G3" s="18"/>
      <c r="H3" s="19" t="s">
        <v>3</v>
      </c>
      <c r="I3" s="19"/>
      <c r="J3" s="19"/>
      <c r="K3" s="21">
        <v>27</v>
      </c>
    </row>
    <row r="4" spans="1:11" s="21" customFormat="1" ht="14.25" customHeight="1">
      <c r="A4" s="17" t="s">
        <v>4</v>
      </c>
      <c r="B4" s="17">
        <v>402</v>
      </c>
      <c r="C4" s="17"/>
      <c r="D4" s="18"/>
      <c r="E4" s="18"/>
      <c r="F4" s="18"/>
      <c r="G4" s="18"/>
      <c r="H4" s="19" t="s">
        <v>31</v>
      </c>
      <c r="I4" s="19"/>
      <c r="J4" s="19"/>
      <c r="K4" s="33" t="s">
        <v>62</v>
      </c>
    </row>
    <row r="5" spans="1:13" s="21" customFormat="1" ht="14.2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35"/>
      <c r="L5" s="35" t="s">
        <v>65</v>
      </c>
      <c r="M5" s="35"/>
    </row>
    <row r="6" spans="1:14" ht="14.25" customHeight="1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4.25" customHeight="1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4.25" customHeight="1" thickBot="1" thickTop="1">
      <c r="A8" s="353" t="s">
        <v>6</v>
      </c>
      <c r="B8" s="357" t="s">
        <v>7</v>
      </c>
      <c r="C8" s="358"/>
      <c r="D8" s="359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4.25" customHeight="1" thickTop="1">
      <c r="A9" s="354"/>
      <c r="B9" s="329" t="s">
        <v>8</v>
      </c>
      <c r="C9" s="330"/>
      <c r="D9" s="351" t="s">
        <v>9</v>
      </c>
      <c r="E9" s="372" t="s">
        <v>10</v>
      </c>
      <c r="F9" s="344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4.25" customHeight="1" thickBot="1">
      <c r="A10" s="355"/>
      <c r="B10" s="331"/>
      <c r="C10" s="332"/>
      <c r="D10" s="352"/>
      <c r="E10" s="356"/>
      <c r="F10" s="345"/>
      <c r="G10" s="198" t="s">
        <v>114</v>
      </c>
      <c r="H10" s="10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73" t="s">
        <v>16</v>
      </c>
      <c r="B11" s="231" t="s">
        <v>94</v>
      </c>
      <c r="C11" s="165">
        <f>3360+683</f>
        <v>4043</v>
      </c>
      <c r="D11" s="226">
        <f>(5.66+2.789+0.437+0.015)*1.075*1.2</f>
        <v>11.482289999999999</v>
      </c>
      <c r="E11" s="372">
        <v>154</v>
      </c>
      <c r="F11" s="374">
        <f>(22.54+6.56+18.6)*1.1</f>
        <v>52.470000000000006</v>
      </c>
      <c r="G11" s="258">
        <v>2044.8</v>
      </c>
      <c r="H11" s="97">
        <v>56.19</v>
      </c>
      <c r="K11" s="6"/>
      <c r="L11" s="7"/>
      <c r="M11" s="6"/>
      <c r="N11" s="7"/>
    </row>
    <row r="12" spans="1:14" ht="14.25" customHeight="1" thickBot="1">
      <c r="A12" s="369"/>
      <c r="B12" s="246" t="s">
        <v>111</v>
      </c>
      <c r="C12" s="76">
        <f>17.25*2</f>
        <v>34.5</v>
      </c>
      <c r="D12" s="170">
        <f>49.291*1.075*1.2</f>
        <v>63.58538999999999</v>
      </c>
      <c r="E12" s="371"/>
      <c r="F12" s="361"/>
      <c r="G12" s="256">
        <v>79426</v>
      </c>
      <c r="H12" s="102">
        <v>6.91</v>
      </c>
      <c r="K12" s="6"/>
      <c r="L12" s="7"/>
      <c r="M12" s="6"/>
      <c r="N12" s="7"/>
    </row>
    <row r="13" spans="1:14" ht="14.25" customHeight="1">
      <c r="A13" s="368" t="s">
        <v>17</v>
      </c>
      <c r="B13" s="154" t="s">
        <v>94</v>
      </c>
      <c r="C13" s="106">
        <f>3240+511</f>
        <v>3751</v>
      </c>
      <c r="D13" s="226">
        <f>(5.66+3.049+0.437+0.015)*1.075*1.2</f>
        <v>11.817689999999999</v>
      </c>
      <c r="E13" s="370">
        <f>211</f>
        <v>211</v>
      </c>
      <c r="F13" s="360">
        <v>52.47</v>
      </c>
      <c r="G13" s="258">
        <v>2044.8</v>
      </c>
      <c r="H13" s="97">
        <v>56.19</v>
      </c>
      <c r="I13" s="66"/>
      <c r="J13" s="10"/>
      <c r="K13" s="9"/>
      <c r="L13" s="10"/>
      <c r="M13" s="9"/>
      <c r="N13" s="10"/>
    </row>
    <row r="14" spans="1:14" ht="14.25" customHeight="1" thickBot="1">
      <c r="A14" s="369"/>
      <c r="B14" s="230" t="s">
        <v>111</v>
      </c>
      <c r="C14" s="76">
        <v>34.5</v>
      </c>
      <c r="D14" s="170">
        <f>49.863*1.075*1.2</f>
        <v>64.32327</v>
      </c>
      <c r="E14" s="371"/>
      <c r="F14" s="361"/>
      <c r="G14" s="199">
        <v>83874</v>
      </c>
      <c r="H14" s="102">
        <v>6.91</v>
      </c>
      <c r="I14" s="194"/>
      <c r="J14" s="13"/>
      <c r="K14" s="12"/>
      <c r="L14" s="13"/>
      <c r="M14" s="12"/>
      <c r="N14" s="13"/>
    </row>
    <row r="15" spans="1:14" ht="14.25" customHeight="1">
      <c r="A15" s="368" t="s">
        <v>18</v>
      </c>
      <c r="B15" s="231" t="s">
        <v>94</v>
      </c>
      <c r="C15" s="106">
        <v>0</v>
      </c>
      <c r="D15" s="226">
        <f>(5.66+3.049+0.437+0.015)*1.075*1.2</f>
        <v>11.817689999999999</v>
      </c>
      <c r="E15" s="370">
        <v>251</v>
      </c>
      <c r="F15" s="360">
        <v>52.47</v>
      </c>
      <c r="G15" s="258">
        <v>2044.8</v>
      </c>
      <c r="H15" s="97">
        <v>56.19</v>
      </c>
      <c r="I15" s="66"/>
      <c r="J15" s="10"/>
      <c r="K15" s="9"/>
      <c r="L15" s="10"/>
      <c r="M15" s="9"/>
      <c r="N15" s="10"/>
    </row>
    <row r="16" spans="1:14" ht="14.25" customHeight="1" thickBot="1">
      <c r="A16" s="369"/>
      <c r="B16" s="230" t="s">
        <v>111</v>
      </c>
      <c r="C16" s="76">
        <v>34.5</v>
      </c>
      <c r="D16" s="170">
        <f>49.863*1.075*1.2</f>
        <v>64.32327</v>
      </c>
      <c r="E16" s="371"/>
      <c r="F16" s="361"/>
      <c r="G16" s="199">
        <v>81163</v>
      </c>
      <c r="H16" s="102">
        <v>6.91</v>
      </c>
      <c r="I16" s="194"/>
      <c r="J16" s="13"/>
      <c r="K16" s="12"/>
      <c r="L16" s="13"/>
      <c r="M16" s="12"/>
      <c r="N16" s="13"/>
    </row>
    <row r="17" spans="1:14" ht="14.25" customHeight="1">
      <c r="A17" s="368" t="s">
        <v>19</v>
      </c>
      <c r="B17" s="231" t="s">
        <v>94</v>
      </c>
      <c r="C17" s="106">
        <f>7440+1119</f>
        <v>8559</v>
      </c>
      <c r="D17" s="226">
        <f>(5.66+3.049+0.437+0.015)*1.075*1.2</f>
        <v>11.817689999999999</v>
      </c>
      <c r="E17" s="370">
        <v>250</v>
      </c>
      <c r="F17" s="360">
        <v>52.47</v>
      </c>
      <c r="G17" s="258">
        <v>2044.8</v>
      </c>
      <c r="H17" s="97">
        <v>56.19</v>
      </c>
      <c r="I17" s="66"/>
      <c r="J17" s="10"/>
      <c r="K17" s="9"/>
      <c r="L17" s="10"/>
      <c r="M17" s="9"/>
      <c r="N17" s="10"/>
    </row>
    <row r="18" spans="1:14" ht="14.25" customHeight="1" thickBot="1">
      <c r="A18" s="369"/>
      <c r="B18" s="230" t="s">
        <v>111</v>
      </c>
      <c r="C18" s="76">
        <v>34.5</v>
      </c>
      <c r="D18" s="170">
        <f>49.863*1.075*1.2</f>
        <v>64.32327</v>
      </c>
      <c r="E18" s="371"/>
      <c r="F18" s="361"/>
      <c r="G18" s="199">
        <v>63372</v>
      </c>
      <c r="H18" s="102">
        <v>6.91</v>
      </c>
      <c r="I18" s="194"/>
      <c r="J18" s="13"/>
      <c r="K18" s="12"/>
      <c r="L18" s="13"/>
      <c r="M18" s="12"/>
      <c r="N18" s="13"/>
    </row>
    <row r="19" spans="1:14" ht="14.25" customHeight="1">
      <c r="A19" s="368" t="s">
        <v>20</v>
      </c>
      <c r="B19" s="231" t="s">
        <v>94</v>
      </c>
      <c r="C19" s="106">
        <f>2960+507</f>
        <v>3467</v>
      </c>
      <c r="D19" s="226">
        <f>(5.66+3.049+0.437+0.015)*1.075*1.2</f>
        <v>11.817689999999999</v>
      </c>
      <c r="E19" s="370">
        <f>234</f>
        <v>234</v>
      </c>
      <c r="F19" s="360">
        <v>52.47</v>
      </c>
      <c r="G19" s="258">
        <v>2044.8</v>
      </c>
      <c r="H19" s="97">
        <v>56.19</v>
      </c>
      <c r="I19" s="66"/>
      <c r="J19" s="10"/>
      <c r="K19" s="9"/>
      <c r="L19" s="10"/>
      <c r="M19" s="9"/>
      <c r="N19" s="10"/>
    </row>
    <row r="20" spans="1:14" ht="14.25" customHeight="1" thickBot="1">
      <c r="A20" s="369"/>
      <c r="B20" s="230" t="s">
        <v>111</v>
      </c>
      <c r="C20" s="76">
        <v>34.5</v>
      </c>
      <c r="D20" s="170">
        <f>49.863*1.075*1.2</f>
        <v>64.32327</v>
      </c>
      <c r="E20" s="371"/>
      <c r="F20" s="361"/>
      <c r="G20" s="199">
        <v>0</v>
      </c>
      <c r="H20" s="102">
        <v>6.91</v>
      </c>
      <c r="I20" s="194"/>
      <c r="J20" s="13"/>
      <c r="K20" s="12"/>
      <c r="L20" s="13"/>
      <c r="M20" s="12"/>
      <c r="N20" s="13"/>
    </row>
    <row r="21" spans="1:14" ht="14.25" customHeight="1">
      <c r="A21" s="368" t="s">
        <v>68</v>
      </c>
      <c r="B21" s="231" t="s">
        <v>94</v>
      </c>
      <c r="C21" s="106">
        <f>3600+929</f>
        <v>4529</v>
      </c>
      <c r="D21" s="226">
        <f>(5.66+3.049+0.437+0.015)*1.075*1.2</f>
        <v>11.817689999999999</v>
      </c>
      <c r="E21" s="370">
        <v>292</v>
      </c>
      <c r="F21" s="360">
        <v>52.47</v>
      </c>
      <c r="G21" s="258">
        <v>2044.8</v>
      </c>
      <c r="H21" s="97">
        <v>56.19</v>
      </c>
      <c r="I21" s="66"/>
      <c r="J21" s="10"/>
      <c r="K21" s="9"/>
      <c r="L21" s="10"/>
      <c r="M21" s="9"/>
      <c r="N21" s="10"/>
    </row>
    <row r="22" spans="1:14" ht="14.25" customHeight="1" thickBot="1">
      <c r="A22" s="369"/>
      <c r="B22" s="230" t="s">
        <v>111</v>
      </c>
      <c r="C22" s="76">
        <v>34.5</v>
      </c>
      <c r="D22" s="170">
        <f>49.863*1.075*1.2</f>
        <v>64.32327</v>
      </c>
      <c r="E22" s="371"/>
      <c r="F22" s="361"/>
      <c r="G22" s="199">
        <v>0</v>
      </c>
      <c r="H22" s="102">
        <v>6.91</v>
      </c>
      <c r="I22" s="194"/>
      <c r="J22" s="13"/>
      <c r="K22" s="12"/>
      <c r="L22" s="13"/>
      <c r="M22" s="12"/>
      <c r="N22" s="13"/>
    </row>
    <row r="23" spans="1:14" ht="14.25" customHeight="1">
      <c r="A23" s="368" t="s">
        <v>69</v>
      </c>
      <c r="B23" s="231" t="s">
        <v>94</v>
      </c>
      <c r="C23" s="106">
        <f>2280+1007</f>
        <v>3287</v>
      </c>
      <c r="D23" s="226">
        <f>(5.66+3.049+0.437+0.015)*1.075*1.2</f>
        <v>11.817689999999999</v>
      </c>
      <c r="E23" s="370">
        <f>312</f>
        <v>312</v>
      </c>
      <c r="F23" s="362">
        <v>52.47</v>
      </c>
      <c r="G23" s="258">
        <v>2044.8</v>
      </c>
      <c r="H23" s="97">
        <v>56.19</v>
      </c>
      <c r="I23" s="9"/>
      <c r="J23" s="10"/>
      <c r="K23" s="9"/>
      <c r="L23" s="10"/>
      <c r="M23" s="9"/>
      <c r="N23" s="10"/>
    </row>
    <row r="24" spans="1:14" ht="14.25" customHeight="1" thickBot="1">
      <c r="A24" s="369"/>
      <c r="B24" s="230" t="s">
        <v>95</v>
      </c>
      <c r="C24" s="76">
        <v>34.5</v>
      </c>
      <c r="D24" s="170">
        <f>49.863*1.075*1.2</f>
        <v>64.32327</v>
      </c>
      <c r="E24" s="371"/>
      <c r="F24" s="363"/>
      <c r="G24" s="199">
        <v>0</v>
      </c>
      <c r="H24" s="102">
        <v>6.91</v>
      </c>
      <c r="I24" s="12"/>
      <c r="J24" s="13"/>
      <c r="K24" s="12"/>
      <c r="L24" s="13"/>
      <c r="M24" s="12"/>
      <c r="N24" s="13"/>
    </row>
    <row r="25" spans="1:14" ht="14.25" customHeight="1">
      <c r="A25" s="368" t="s">
        <v>22</v>
      </c>
      <c r="B25" s="231" t="s">
        <v>94</v>
      </c>
      <c r="C25" s="106">
        <f>2160+755</f>
        <v>2915</v>
      </c>
      <c r="D25" s="226">
        <f>(5.66+3.049+0.437+0.015)*1.075*1.2</f>
        <v>11.817689999999999</v>
      </c>
      <c r="E25" s="370">
        <f>329</f>
        <v>329</v>
      </c>
      <c r="F25" s="360">
        <v>52.47</v>
      </c>
      <c r="G25" s="258">
        <v>2044.8</v>
      </c>
      <c r="H25" s="97">
        <v>56.19</v>
      </c>
      <c r="I25" s="194"/>
      <c r="J25" s="13"/>
      <c r="K25" s="12"/>
      <c r="L25" s="13"/>
      <c r="M25" s="12"/>
      <c r="N25" s="13"/>
    </row>
    <row r="26" spans="1:14" ht="14.25" customHeight="1" thickBot="1">
      <c r="A26" s="369"/>
      <c r="B26" s="230" t="s">
        <v>95</v>
      </c>
      <c r="C26" s="76">
        <v>34.5</v>
      </c>
      <c r="D26" s="170">
        <f>49.863*1.075*1.2</f>
        <v>64.32327</v>
      </c>
      <c r="E26" s="371"/>
      <c r="F26" s="361"/>
      <c r="G26" s="199">
        <v>0</v>
      </c>
      <c r="H26" s="102">
        <v>6.91</v>
      </c>
      <c r="I26" s="95"/>
      <c r="J26" s="5"/>
      <c r="K26" s="4"/>
      <c r="L26" s="5"/>
      <c r="M26" s="4"/>
      <c r="N26" s="5"/>
    </row>
    <row r="27" spans="1:14" ht="14.25" customHeight="1">
      <c r="A27" s="368" t="s">
        <v>23</v>
      </c>
      <c r="B27" s="231" t="s">
        <v>94</v>
      </c>
      <c r="C27" s="106">
        <f>3440+626</f>
        <v>4066</v>
      </c>
      <c r="D27" s="226">
        <f>(8.73+3.049+0.437+0.015)*1.075*1.2</f>
        <v>15.777989999999999</v>
      </c>
      <c r="E27" s="370">
        <f>287</f>
        <v>287</v>
      </c>
      <c r="F27" s="360">
        <f>22.54+6.56+29.07</f>
        <v>58.17</v>
      </c>
      <c r="G27" s="258">
        <v>2044.8</v>
      </c>
      <c r="H27" s="97">
        <v>56.19</v>
      </c>
      <c r="I27" s="95"/>
      <c r="J27" s="5"/>
      <c r="K27" s="4"/>
      <c r="L27" s="5"/>
      <c r="M27" s="4"/>
      <c r="N27" s="5"/>
    </row>
    <row r="28" spans="1:14" ht="14.25" customHeight="1" thickBot="1">
      <c r="A28" s="369"/>
      <c r="B28" s="230" t="s">
        <v>95</v>
      </c>
      <c r="C28" s="76">
        <v>34.5</v>
      </c>
      <c r="D28" s="170">
        <f>49.863*1.075*1.2</f>
        <v>64.32327</v>
      </c>
      <c r="E28" s="371"/>
      <c r="F28" s="361"/>
      <c r="G28" s="199">
        <v>0</v>
      </c>
      <c r="H28" s="102">
        <v>6.91</v>
      </c>
      <c r="I28" s="95"/>
      <c r="J28" s="5"/>
      <c r="K28" s="4"/>
      <c r="L28" s="5"/>
      <c r="M28" s="4"/>
      <c r="N28" s="5"/>
    </row>
    <row r="29" spans="1:14" ht="14.25" customHeight="1">
      <c r="A29" s="368" t="s">
        <v>24</v>
      </c>
      <c r="B29" s="231" t="s">
        <v>94</v>
      </c>
      <c r="C29" s="106">
        <f>4240+1099</f>
        <v>5339</v>
      </c>
      <c r="D29" s="226">
        <f>(8.73+3.394+0.437+0.015)*1.075*1.2</f>
        <v>16.223039999999997</v>
      </c>
      <c r="E29" s="335">
        <f>279</f>
        <v>279</v>
      </c>
      <c r="F29" s="360">
        <v>58.17</v>
      </c>
      <c r="G29" s="258">
        <v>2044.8</v>
      </c>
      <c r="H29" s="97">
        <v>56.19</v>
      </c>
      <c r="I29" s="95"/>
      <c r="J29" s="5"/>
      <c r="K29" s="4"/>
      <c r="L29" s="5"/>
      <c r="M29" s="4"/>
      <c r="N29" s="5"/>
    </row>
    <row r="30" spans="1:14" ht="14.25" customHeight="1" thickBot="1">
      <c r="A30" s="369"/>
      <c r="B30" s="230" t="s">
        <v>95</v>
      </c>
      <c r="C30" s="76">
        <v>34.5</v>
      </c>
      <c r="D30" s="170">
        <f>54.258*1.075*1.2</f>
        <v>69.99282</v>
      </c>
      <c r="E30" s="336"/>
      <c r="F30" s="361"/>
      <c r="G30" s="199">
        <v>31170</v>
      </c>
      <c r="H30" s="102">
        <v>6.91</v>
      </c>
      <c r="I30" s="95"/>
      <c r="J30" s="5"/>
      <c r="K30" s="4"/>
      <c r="L30" s="5"/>
      <c r="M30" s="4"/>
      <c r="N30" s="5"/>
    </row>
    <row r="31" spans="1:14" ht="14.25" customHeight="1">
      <c r="A31" s="368" t="s">
        <v>25</v>
      </c>
      <c r="B31" s="231" t="s">
        <v>94</v>
      </c>
      <c r="C31" s="162">
        <f>3800+1445</f>
        <v>5245</v>
      </c>
      <c r="D31" s="226">
        <f>(8.73+3.394+0.437+0.015)*1.075*1.2</f>
        <v>16.223039999999997</v>
      </c>
      <c r="E31" s="335">
        <v>181</v>
      </c>
      <c r="F31" s="360">
        <v>58.17</v>
      </c>
      <c r="G31" s="258">
        <v>2044.8</v>
      </c>
      <c r="H31" s="97">
        <v>56.19</v>
      </c>
      <c r="I31" s="95"/>
      <c r="J31" s="5"/>
      <c r="K31" s="4"/>
      <c r="L31" s="5"/>
      <c r="M31" s="4"/>
      <c r="N31" s="5"/>
    </row>
    <row r="32" spans="1:14" ht="14.25" customHeight="1" thickBot="1">
      <c r="A32" s="369"/>
      <c r="B32" s="230" t="s">
        <v>95</v>
      </c>
      <c r="C32" s="89">
        <v>34.5</v>
      </c>
      <c r="D32" s="170">
        <f>54.258*1.075*1.2</f>
        <v>69.99282</v>
      </c>
      <c r="E32" s="336"/>
      <c r="F32" s="361"/>
      <c r="G32" s="199">
        <v>55889</v>
      </c>
      <c r="H32" s="102">
        <v>6.91</v>
      </c>
      <c r="I32" s="95"/>
      <c r="J32" s="5"/>
      <c r="K32" s="4"/>
      <c r="L32" s="5"/>
      <c r="M32" s="4"/>
      <c r="N32" s="5"/>
    </row>
    <row r="33" spans="1:14" ht="14.25" customHeight="1">
      <c r="A33" s="368" t="s">
        <v>26</v>
      </c>
      <c r="B33" s="231" t="s">
        <v>94</v>
      </c>
      <c r="C33" s="106">
        <f>4040+1853</f>
        <v>5893</v>
      </c>
      <c r="D33" s="226">
        <f>(8.73+3.394+0.437+0.015)*1.075*1.2</f>
        <v>16.223039999999997</v>
      </c>
      <c r="E33" s="370">
        <v>244</v>
      </c>
      <c r="F33" s="360">
        <v>58.17</v>
      </c>
      <c r="G33" s="258">
        <v>2044.8</v>
      </c>
      <c r="H33" s="97">
        <v>56.19</v>
      </c>
      <c r="I33" s="66"/>
      <c r="J33" s="10"/>
      <c r="K33" s="9"/>
      <c r="L33" s="10"/>
      <c r="M33" s="9"/>
      <c r="N33" s="10"/>
    </row>
    <row r="34" spans="1:14" ht="14.25" customHeight="1" thickBot="1">
      <c r="A34" s="333"/>
      <c r="B34" s="155" t="s">
        <v>95</v>
      </c>
      <c r="C34" s="232">
        <v>34.5</v>
      </c>
      <c r="D34" s="170">
        <f>54.258*1.075*1.2</f>
        <v>69.99282</v>
      </c>
      <c r="E34" s="356"/>
      <c r="F34" s="334"/>
      <c r="G34" s="256">
        <v>103806</v>
      </c>
      <c r="H34" s="102">
        <v>6.91</v>
      </c>
      <c r="I34" s="65"/>
      <c r="J34" s="3"/>
      <c r="K34" s="2"/>
      <c r="L34" s="3"/>
      <c r="M34" s="2"/>
      <c r="N34" s="3"/>
    </row>
    <row r="35" ht="14.25" customHeight="1" thickTop="1"/>
    <row r="36" spans="1:6" ht="14.25" customHeight="1">
      <c r="A36" s="349" t="s">
        <v>32</v>
      </c>
      <c r="B36" s="347"/>
      <c r="C36" s="347"/>
      <c r="D36" s="348"/>
      <c r="E36" s="23"/>
      <c r="F36" s="23"/>
    </row>
    <row r="37" spans="1:6" ht="14.25" customHeight="1">
      <c r="A37" s="23"/>
      <c r="B37" s="22" t="s">
        <v>33</v>
      </c>
      <c r="C37" s="22"/>
      <c r="D37" s="23"/>
      <c r="E37" s="23"/>
      <c r="F37" s="23"/>
    </row>
    <row r="38" spans="1:9" ht="14.25" customHeight="1">
      <c r="A38" s="23"/>
      <c r="B38" s="347" t="s">
        <v>35</v>
      </c>
      <c r="C38" s="347"/>
      <c r="D38" s="347"/>
      <c r="E38" s="348"/>
      <c r="F38" s="23"/>
      <c r="I38" s="182"/>
    </row>
    <row r="39" spans="1:9" ht="14.25" customHeight="1">
      <c r="A39" s="23"/>
      <c r="B39" s="347" t="s">
        <v>34</v>
      </c>
      <c r="C39" s="347"/>
      <c r="D39" s="347"/>
      <c r="E39" s="23"/>
      <c r="F39" s="23"/>
      <c r="I39" s="182"/>
    </row>
    <row r="40" spans="1:9" ht="14.25" customHeight="1">
      <c r="A40" s="23"/>
      <c r="B40" s="23"/>
      <c r="C40" s="23"/>
      <c r="D40" s="23"/>
      <c r="E40" s="23"/>
      <c r="F40" s="23"/>
      <c r="I40" s="182"/>
    </row>
    <row r="41" ht="14.25" customHeight="1">
      <c r="I41" s="182"/>
    </row>
    <row r="42" ht="14.25" customHeight="1">
      <c r="I42" s="182"/>
    </row>
    <row r="43" ht="14.25" customHeight="1">
      <c r="I43" s="182"/>
    </row>
    <row r="44" ht="14.25" customHeight="1">
      <c r="I44" s="182"/>
    </row>
    <row r="45" ht="14.25" customHeight="1">
      <c r="I45" s="182"/>
    </row>
    <row r="46" ht="14.25" customHeight="1">
      <c r="I46" s="182"/>
    </row>
    <row r="47" ht="14.25" customHeight="1">
      <c r="I47" s="182"/>
    </row>
    <row r="48" ht="14.25" customHeight="1">
      <c r="I48" s="182"/>
    </row>
    <row r="49" ht="14.25" customHeight="1">
      <c r="I49" s="182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1">
      <selection activeCell="C46" sqref="C46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19" t="s">
        <v>41</v>
      </c>
      <c r="B1" s="17" t="s">
        <v>48</v>
      </c>
      <c r="C1" s="17"/>
      <c r="D1" s="18"/>
      <c r="E1" s="18">
        <v>51223</v>
      </c>
      <c r="F1" s="18"/>
      <c r="G1" s="18"/>
      <c r="H1" s="17" t="s">
        <v>29</v>
      </c>
      <c r="I1" s="17"/>
      <c r="J1" s="17"/>
      <c r="K1" s="28">
        <v>1520</v>
      </c>
      <c r="L1" s="18"/>
      <c r="M1" s="1"/>
    </row>
    <row r="2" spans="1:13" ht="15">
      <c r="A2" s="17" t="s">
        <v>1</v>
      </c>
      <c r="B2" s="17" t="s">
        <v>58</v>
      </c>
      <c r="C2" s="17"/>
      <c r="D2" s="18"/>
      <c r="E2" s="18">
        <v>51222</v>
      </c>
      <c r="F2" s="18"/>
      <c r="G2" s="18"/>
      <c r="H2" s="17" t="s">
        <v>2</v>
      </c>
      <c r="I2" s="17"/>
      <c r="J2" s="17"/>
      <c r="K2" s="18">
        <v>13</v>
      </c>
      <c r="L2" s="18"/>
      <c r="M2" s="1"/>
    </row>
    <row r="3" spans="1:13" ht="15">
      <c r="A3" s="17" t="s">
        <v>0</v>
      </c>
      <c r="B3" s="17" t="s">
        <v>38</v>
      </c>
      <c r="C3" s="17"/>
      <c r="D3" s="18"/>
      <c r="E3" s="18"/>
      <c r="F3" s="18"/>
      <c r="G3" s="18"/>
      <c r="H3" s="17" t="s">
        <v>3</v>
      </c>
      <c r="I3" s="17"/>
      <c r="J3" s="17"/>
      <c r="K3" s="18">
        <v>3</v>
      </c>
      <c r="L3" s="18"/>
      <c r="M3" s="1"/>
    </row>
    <row r="4" spans="1:15" ht="15">
      <c r="A4" s="17" t="s">
        <v>4</v>
      </c>
      <c r="B4" s="17">
        <v>258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  <c r="O4" s="2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366" t="s">
        <v>27</v>
      </c>
      <c r="H9" s="367"/>
      <c r="I9" s="364" t="s">
        <v>98</v>
      </c>
      <c r="J9" s="365"/>
      <c r="K9" s="364" t="s">
        <v>13</v>
      </c>
      <c r="L9" s="515"/>
      <c r="M9" s="516" t="s">
        <v>14</v>
      </c>
      <c r="N9" s="517"/>
    </row>
    <row r="10" spans="1:14" ht="15" thickBot="1">
      <c r="A10" s="355"/>
      <c r="B10" s="442"/>
      <c r="C10" s="356"/>
      <c r="D10" s="345"/>
      <c r="E10" s="445"/>
      <c r="F10" s="345"/>
      <c r="G10" s="11" t="s">
        <v>114</v>
      </c>
      <c r="H10" s="10" t="s">
        <v>9</v>
      </c>
      <c r="I10" s="103" t="s">
        <v>99</v>
      </c>
      <c r="J10" s="10" t="s">
        <v>9</v>
      </c>
      <c r="K10" s="2" t="s">
        <v>10</v>
      </c>
      <c r="L10" s="130" t="s">
        <v>9</v>
      </c>
      <c r="M10" s="131" t="s">
        <v>30</v>
      </c>
      <c r="N10" s="132" t="s">
        <v>9</v>
      </c>
    </row>
    <row r="11" spans="1:14" ht="15.75" customHeight="1" thickTop="1">
      <c r="A11" s="470" t="s">
        <v>16</v>
      </c>
      <c r="B11" s="235" t="s">
        <v>94</v>
      </c>
      <c r="C11" s="171">
        <v>3390</v>
      </c>
      <c r="D11" s="172">
        <f>(6.29+3.187+0.437+0.015)*1.075*1.2</f>
        <v>12.808409999999999</v>
      </c>
      <c r="E11" s="444">
        <f>21</f>
        <v>21</v>
      </c>
      <c r="F11" s="374">
        <v>52.47</v>
      </c>
      <c r="G11" s="214"/>
      <c r="H11" s="215"/>
      <c r="I11" s="511">
        <v>7000</v>
      </c>
      <c r="J11" s="518">
        <v>139.32</v>
      </c>
      <c r="K11" s="74"/>
      <c r="L11" s="128"/>
      <c r="M11" s="73"/>
      <c r="N11" s="101"/>
    </row>
    <row r="12" spans="1:14" ht="15" customHeight="1">
      <c r="A12" s="440"/>
      <c r="B12" s="236" t="s">
        <v>95</v>
      </c>
      <c r="C12" s="88">
        <v>690</v>
      </c>
      <c r="D12" s="173">
        <f>(4.04+0.797+0.437+0.015)*1.075*1.2</f>
        <v>6.82281</v>
      </c>
      <c r="E12" s="436"/>
      <c r="F12" s="500"/>
      <c r="G12" s="216"/>
      <c r="H12" s="217"/>
      <c r="I12" s="512"/>
      <c r="J12" s="519"/>
      <c r="K12" s="74"/>
      <c r="L12" s="128"/>
      <c r="M12" s="73"/>
      <c r="N12" s="101"/>
    </row>
    <row r="13" spans="1:14" ht="15" customHeight="1" thickBot="1">
      <c r="A13" s="440"/>
      <c r="B13" s="55" t="s">
        <v>110</v>
      </c>
      <c r="C13" s="144">
        <v>17.25</v>
      </c>
      <c r="D13" s="175">
        <f>49.291*1.075*1.2</f>
        <v>63.58538999999999</v>
      </c>
      <c r="E13" s="436"/>
      <c r="F13" s="500"/>
      <c r="G13" s="216"/>
      <c r="H13" s="217"/>
      <c r="I13" s="512"/>
      <c r="J13" s="519"/>
      <c r="K13" s="74"/>
      <c r="L13" s="128"/>
      <c r="M13" s="73"/>
      <c r="N13" s="101"/>
    </row>
    <row r="14" spans="1:14" ht="15" customHeight="1" thickTop="1">
      <c r="A14" s="439" t="s">
        <v>17</v>
      </c>
      <c r="B14" s="55" t="s">
        <v>94</v>
      </c>
      <c r="C14" s="161">
        <v>3660</v>
      </c>
      <c r="D14" s="172">
        <f>(6.29+3.485+0.437+0.015)*1.075*1.2</f>
        <v>13.19283</v>
      </c>
      <c r="E14" s="435">
        <v>34</v>
      </c>
      <c r="F14" s="507">
        <v>52.47</v>
      </c>
      <c r="G14" s="218"/>
      <c r="H14" s="219"/>
      <c r="I14" s="513">
        <v>0</v>
      </c>
      <c r="J14" s="482">
        <v>0</v>
      </c>
      <c r="K14" s="66"/>
      <c r="L14" s="127"/>
      <c r="M14" s="72"/>
      <c r="N14" s="98"/>
    </row>
    <row r="15" spans="1:14" ht="15" customHeight="1">
      <c r="A15" s="440"/>
      <c r="B15" s="55" t="s">
        <v>95</v>
      </c>
      <c r="C15" s="91">
        <v>780</v>
      </c>
      <c r="D15" s="173">
        <f>(4.04+0.871+0.437+0.015)*1.075*1.2</f>
        <v>6.918269999999999</v>
      </c>
      <c r="E15" s="436"/>
      <c r="F15" s="508"/>
      <c r="G15" s="216"/>
      <c r="H15" s="217"/>
      <c r="I15" s="514"/>
      <c r="J15" s="483"/>
      <c r="K15" s="74"/>
      <c r="L15" s="128"/>
      <c r="M15" s="73"/>
      <c r="N15" s="101"/>
    </row>
    <row r="16" spans="1:14" ht="15" customHeight="1" thickBot="1">
      <c r="A16" s="440"/>
      <c r="B16" s="55" t="s">
        <v>110</v>
      </c>
      <c r="C16" s="108">
        <v>17.25</v>
      </c>
      <c r="D16" s="175">
        <f>49.863*1.075*1.2</f>
        <v>64.32327</v>
      </c>
      <c r="E16" s="436"/>
      <c r="F16" s="508"/>
      <c r="G16" s="216"/>
      <c r="H16" s="217"/>
      <c r="I16" s="514"/>
      <c r="J16" s="483"/>
      <c r="K16" s="74"/>
      <c r="L16" s="128"/>
      <c r="M16" s="73"/>
      <c r="N16" s="101"/>
    </row>
    <row r="17" spans="1:14" ht="15" customHeight="1" thickTop="1">
      <c r="A17" s="439" t="s">
        <v>18</v>
      </c>
      <c r="B17" s="59" t="s">
        <v>94</v>
      </c>
      <c r="C17" s="161">
        <v>3510</v>
      </c>
      <c r="D17" s="172">
        <f>(6.29+3.485+0.437+0.015)*1.075*1.2</f>
        <v>13.19283</v>
      </c>
      <c r="E17" s="435">
        <v>21</v>
      </c>
      <c r="F17" s="507">
        <v>52.47</v>
      </c>
      <c r="G17" s="218"/>
      <c r="H17" s="219"/>
      <c r="I17" s="513">
        <v>4000</v>
      </c>
      <c r="J17" s="482">
        <v>146.04</v>
      </c>
      <c r="K17" s="66"/>
      <c r="L17" s="127"/>
      <c r="M17" s="72"/>
      <c r="N17" s="98"/>
    </row>
    <row r="18" spans="1:14" ht="15" customHeight="1">
      <c r="A18" s="440"/>
      <c r="B18" s="55" t="s">
        <v>95</v>
      </c>
      <c r="C18" s="91">
        <v>690</v>
      </c>
      <c r="D18" s="173">
        <f>(4.04+0.871+0.437+0.015)*1.075*1.2</f>
        <v>6.918269999999999</v>
      </c>
      <c r="E18" s="436"/>
      <c r="F18" s="508"/>
      <c r="G18" s="216"/>
      <c r="H18" s="217"/>
      <c r="I18" s="514"/>
      <c r="J18" s="483"/>
      <c r="K18" s="74"/>
      <c r="L18" s="128"/>
      <c r="M18" s="73"/>
      <c r="N18" s="101"/>
    </row>
    <row r="19" spans="1:14" ht="15" customHeight="1" thickBot="1">
      <c r="A19" s="440"/>
      <c r="B19" s="55" t="s">
        <v>110</v>
      </c>
      <c r="C19" s="108">
        <v>17.25</v>
      </c>
      <c r="D19" s="175">
        <f>49.863*1.075*1.2</f>
        <v>64.32327</v>
      </c>
      <c r="E19" s="436"/>
      <c r="F19" s="508"/>
      <c r="G19" s="216"/>
      <c r="H19" s="217"/>
      <c r="I19" s="514"/>
      <c r="J19" s="483"/>
      <c r="K19" s="74"/>
      <c r="L19" s="128"/>
      <c r="M19" s="73"/>
      <c r="N19" s="101"/>
    </row>
    <row r="20" spans="1:14" ht="13.5" thickTop="1">
      <c r="A20" s="439" t="s">
        <v>19</v>
      </c>
      <c r="B20" s="237" t="s">
        <v>94</v>
      </c>
      <c r="C20" s="161">
        <v>3120</v>
      </c>
      <c r="D20" s="172">
        <f>(6.29+3.485+0.437+0.015)*1.075*1.2</f>
        <v>13.19283</v>
      </c>
      <c r="E20" s="435">
        <v>22</v>
      </c>
      <c r="F20" s="507">
        <v>52.47</v>
      </c>
      <c r="G20" s="218"/>
      <c r="H20" s="219"/>
      <c r="I20" s="513">
        <v>3000</v>
      </c>
      <c r="J20" s="482">
        <v>146.04</v>
      </c>
      <c r="K20" s="66"/>
      <c r="L20" s="127"/>
      <c r="M20" s="72"/>
      <c r="N20" s="98"/>
    </row>
    <row r="21" spans="1:14" ht="15" customHeight="1">
      <c r="A21" s="440"/>
      <c r="B21" s="236" t="s">
        <v>95</v>
      </c>
      <c r="C21" s="91">
        <v>690</v>
      </c>
      <c r="D21" s="173">
        <f>(4.04+0.871+0.437+0.015)*1.075*1.2</f>
        <v>6.918269999999999</v>
      </c>
      <c r="E21" s="436"/>
      <c r="F21" s="508"/>
      <c r="G21" s="216"/>
      <c r="H21" s="217"/>
      <c r="I21" s="514"/>
      <c r="J21" s="483"/>
      <c r="K21" s="74"/>
      <c r="L21" s="128"/>
      <c r="M21" s="73"/>
      <c r="N21" s="101"/>
    </row>
    <row r="22" spans="1:14" ht="15" customHeight="1" thickBot="1">
      <c r="A22" s="440"/>
      <c r="B22" s="55" t="s">
        <v>110</v>
      </c>
      <c r="C22" s="108">
        <v>17.25</v>
      </c>
      <c r="D22" s="175">
        <f>49.863*1.075*1.2</f>
        <v>64.32327</v>
      </c>
      <c r="E22" s="436"/>
      <c r="F22" s="508"/>
      <c r="G22" s="216"/>
      <c r="H22" s="217"/>
      <c r="I22" s="514"/>
      <c r="J22" s="483"/>
      <c r="K22" s="74"/>
      <c r="L22" s="128"/>
      <c r="M22" s="73"/>
      <c r="N22" s="101"/>
    </row>
    <row r="23" spans="1:14" ht="13.5" thickTop="1">
      <c r="A23" s="439" t="s">
        <v>20</v>
      </c>
      <c r="B23" s="59" t="s">
        <v>94</v>
      </c>
      <c r="C23" s="161">
        <v>2190</v>
      </c>
      <c r="D23" s="172">
        <f>(6.29+3.485+0.437+0.015)*1.075*1.2</f>
        <v>13.19283</v>
      </c>
      <c r="E23" s="435">
        <v>30</v>
      </c>
      <c r="F23" s="507">
        <v>52.47</v>
      </c>
      <c r="G23" s="218"/>
      <c r="H23" s="219"/>
      <c r="I23" s="492">
        <v>0</v>
      </c>
      <c r="J23" s="482">
        <v>0</v>
      </c>
      <c r="K23" s="66"/>
      <c r="L23" s="127"/>
      <c r="M23" s="72"/>
      <c r="N23" s="98"/>
    </row>
    <row r="24" spans="1:14" ht="15" customHeight="1">
      <c r="A24" s="440"/>
      <c r="B24" s="55" t="s">
        <v>95</v>
      </c>
      <c r="C24" s="91">
        <v>420</v>
      </c>
      <c r="D24" s="173">
        <f>(4.04+0.871+0.437+0.015)*1.075*1.2</f>
        <v>6.918269999999999</v>
      </c>
      <c r="E24" s="436"/>
      <c r="F24" s="508"/>
      <c r="G24" s="216"/>
      <c r="H24" s="217"/>
      <c r="I24" s="493"/>
      <c r="J24" s="483"/>
      <c r="K24" s="74"/>
      <c r="L24" s="128"/>
      <c r="M24" s="73"/>
      <c r="N24" s="101"/>
    </row>
    <row r="25" spans="1:14" ht="15" customHeight="1" thickBot="1">
      <c r="A25" s="440"/>
      <c r="B25" s="55" t="s">
        <v>110</v>
      </c>
      <c r="C25" s="108">
        <v>17.25</v>
      </c>
      <c r="D25" s="175">
        <f>49.863*1.075*1.2</f>
        <v>64.32327</v>
      </c>
      <c r="E25" s="436"/>
      <c r="F25" s="508"/>
      <c r="G25" s="216"/>
      <c r="H25" s="217"/>
      <c r="I25" s="520"/>
      <c r="J25" s="483"/>
      <c r="K25" s="74"/>
      <c r="L25" s="128"/>
      <c r="M25" s="73"/>
      <c r="N25" s="101"/>
    </row>
    <row r="26" spans="1:14" ht="15" customHeight="1" thickTop="1">
      <c r="A26" s="439" t="s">
        <v>68</v>
      </c>
      <c r="B26" s="59" t="s">
        <v>94</v>
      </c>
      <c r="C26" s="161">
        <v>2310</v>
      </c>
      <c r="D26" s="172">
        <f>(6.29+3.485+0.437+0.015)*1.075*1.2</f>
        <v>13.19283</v>
      </c>
      <c r="E26" s="435">
        <v>21</v>
      </c>
      <c r="F26" s="507">
        <v>52.47</v>
      </c>
      <c r="G26" s="218"/>
      <c r="H26" s="219"/>
      <c r="I26" s="492">
        <v>0</v>
      </c>
      <c r="J26" s="482">
        <v>0</v>
      </c>
      <c r="K26" s="66"/>
      <c r="L26" s="127"/>
      <c r="M26" s="72"/>
      <c r="N26" s="98"/>
    </row>
    <row r="27" spans="1:14" ht="15.75" customHeight="1">
      <c r="A27" s="440"/>
      <c r="B27" s="55" t="s">
        <v>95</v>
      </c>
      <c r="C27" s="91">
        <v>240</v>
      </c>
      <c r="D27" s="173">
        <f>(4.04+0.871+0.437+0.015)*1.075*1.2</f>
        <v>6.918269999999999</v>
      </c>
      <c r="E27" s="436"/>
      <c r="F27" s="508"/>
      <c r="G27" s="216"/>
      <c r="H27" s="217"/>
      <c r="I27" s="493"/>
      <c r="J27" s="483"/>
      <c r="K27" s="74"/>
      <c r="L27" s="128"/>
      <c r="M27" s="73"/>
      <c r="N27" s="101"/>
    </row>
    <row r="28" spans="1:14" ht="16.5" customHeight="1" thickBot="1">
      <c r="A28" s="440"/>
      <c r="B28" s="55" t="s">
        <v>110</v>
      </c>
      <c r="C28" s="108">
        <v>17.25</v>
      </c>
      <c r="D28" s="175">
        <f>49.863*1.075*1.2</f>
        <v>64.32327</v>
      </c>
      <c r="E28" s="436"/>
      <c r="F28" s="508"/>
      <c r="G28" s="216"/>
      <c r="H28" s="217"/>
      <c r="I28" s="520"/>
      <c r="J28" s="483"/>
      <c r="K28" s="74"/>
      <c r="L28" s="128"/>
      <c r="M28" s="73"/>
      <c r="N28" s="101"/>
    </row>
    <row r="29" spans="1:14" ht="13.5" thickTop="1">
      <c r="A29" s="439" t="s">
        <v>69</v>
      </c>
      <c r="B29" s="59" t="s">
        <v>94</v>
      </c>
      <c r="C29" s="161">
        <v>1860</v>
      </c>
      <c r="D29" s="172">
        <f>(6.29+3.485+0.437+0.015)*1.075*1.2</f>
        <v>13.19283</v>
      </c>
      <c r="E29" s="435">
        <v>19</v>
      </c>
      <c r="F29" s="360">
        <v>52.47</v>
      </c>
      <c r="G29" s="220"/>
      <c r="H29" s="221"/>
      <c r="I29" s="521">
        <v>0</v>
      </c>
      <c r="J29" s="482">
        <v>0</v>
      </c>
      <c r="K29" s="66"/>
      <c r="L29" s="127"/>
      <c r="M29" s="72"/>
      <c r="N29" s="98"/>
    </row>
    <row r="30" spans="1:14" ht="15" customHeight="1">
      <c r="A30" s="440"/>
      <c r="B30" s="55" t="s">
        <v>95</v>
      </c>
      <c r="C30" s="91">
        <v>180</v>
      </c>
      <c r="D30" s="173">
        <f>(4.04+0.871+0.437+0.015)*1.075*1.2</f>
        <v>6.918269999999999</v>
      </c>
      <c r="E30" s="436"/>
      <c r="F30" s="500"/>
      <c r="G30" s="222"/>
      <c r="H30" s="223"/>
      <c r="I30" s="522"/>
      <c r="J30" s="483"/>
      <c r="K30" s="74"/>
      <c r="L30" s="128"/>
      <c r="M30" s="73"/>
      <c r="N30" s="101"/>
    </row>
    <row r="31" spans="1:14" ht="15" customHeight="1" thickBot="1">
      <c r="A31" s="440"/>
      <c r="B31" s="55" t="s">
        <v>110</v>
      </c>
      <c r="C31" s="108">
        <v>17.25</v>
      </c>
      <c r="D31" s="175">
        <f>49.863*1.075*1.2</f>
        <v>64.32327</v>
      </c>
      <c r="E31" s="436"/>
      <c r="F31" s="500"/>
      <c r="G31" s="222"/>
      <c r="H31" s="224"/>
      <c r="I31" s="523"/>
      <c r="J31" s="483"/>
      <c r="K31" s="74"/>
      <c r="L31" s="128"/>
      <c r="M31" s="73"/>
      <c r="N31" s="101"/>
    </row>
    <row r="32" spans="1:14" ht="13.5" thickTop="1">
      <c r="A32" s="439" t="s">
        <v>22</v>
      </c>
      <c r="B32" s="59" t="s">
        <v>94</v>
      </c>
      <c r="C32" s="161">
        <v>780</v>
      </c>
      <c r="D32" s="172">
        <f>(6.29+3.485+0.437+0.015)*1.075*1.2</f>
        <v>13.19283</v>
      </c>
      <c r="E32" s="435">
        <f>19</f>
        <v>19</v>
      </c>
      <c r="F32" s="360">
        <v>52.47</v>
      </c>
      <c r="G32" s="487"/>
      <c r="H32" s="490"/>
      <c r="I32" s="524">
        <v>0</v>
      </c>
      <c r="J32" s="498">
        <v>0</v>
      </c>
      <c r="K32" s="370"/>
      <c r="L32" s="360"/>
      <c r="M32" s="492"/>
      <c r="N32" s="482"/>
    </row>
    <row r="33" spans="1:14" ht="15" customHeight="1">
      <c r="A33" s="440"/>
      <c r="B33" s="55" t="s">
        <v>95</v>
      </c>
      <c r="C33" s="91">
        <v>180</v>
      </c>
      <c r="D33" s="173">
        <f>(4.04+0.871+0.437+0.015)*1.075*1.2</f>
        <v>6.918269999999999</v>
      </c>
      <c r="E33" s="436"/>
      <c r="F33" s="500"/>
      <c r="G33" s="488"/>
      <c r="H33" s="490"/>
      <c r="I33" s="525"/>
      <c r="J33" s="499"/>
      <c r="K33" s="453"/>
      <c r="L33" s="500"/>
      <c r="M33" s="493"/>
      <c r="N33" s="483"/>
    </row>
    <row r="34" spans="1:14" ht="15" customHeight="1" thickBot="1">
      <c r="A34" s="440"/>
      <c r="B34" s="55" t="s">
        <v>110</v>
      </c>
      <c r="C34" s="108">
        <v>17.25</v>
      </c>
      <c r="D34" s="175">
        <f>49.863*1.075*1.2</f>
        <v>64.32327</v>
      </c>
      <c r="E34" s="436"/>
      <c r="F34" s="500"/>
      <c r="G34" s="488"/>
      <c r="H34" s="490"/>
      <c r="I34" s="526"/>
      <c r="J34" s="499"/>
      <c r="K34" s="453"/>
      <c r="L34" s="500"/>
      <c r="M34" s="493"/>
      <c r="N34" s="483"/>
    </row>
    <row r="35" spans="1:14" ht="13.5" thickTop="1">
      <c r="A35" s="439" t="s">
        <v>23</v>
      </c>
      <c r="B35" s="59" t="s">
        <v>94</v>
      </c>
      <c r="C35" s="161">
        <v>1050</v>
      </c>
      <c r="D35" s="172">
        <f>(9.7+3.485+0.437+0.015)*1.075*1.2</f>
        <v>17.59173</v>
      </c>
      <c r="E35" s="435">
        <v>42</v>
      </c>
      <c r="F35" s="360">
        <v>58.17</v>
      </c>
      <c r="G35" s="487"/>
      <c r="H35" s="489"/>
      <c r="I35" s="496"/>
      <c r="J35" s="498"/>
      <c r="K35" s="370"/>
      <c r="L35" s="360"/>
      <c r="M35" s="492"/>
      <c r="N35" s="482"/>
    </row>
    <row r="36" spans="1:14" ht="15" customHeight="1">
      <c r="A36" s="440"/>
      <c r="B36" s="55" t="s">
        <v>95</v>
      </c>
      <c r="C36" s="91">
        <v>390</v>
      </c>
      <c r="D36" s="173">
        <f>(6.15+0.871+0.437+0.015)*1.075*1.2</f>
        <v>9.640170000000001</v>
      </c>
      <c r="E36" s="436"/>
      <c r="F36" s="500"/>
      <c r="G36" s="488"/>
      <c r="H36" s="490"/>
      <c r="I36" s="497"/>
      <c r="J36" s="499"/>
      <c r="K36" s="453"/>
      <c r="L36" s="500"/>
      <c r="M36" s="493"/>
      <c r="N36" s="483"/>
    </row>
    <row r="37" spans="1:14" ht="15" customHeight="1" thickBot="1">
      <c r="A37" s="440"/>
      <c r="B37" s="55" t="s">
        <v>110</v>
      </c>
      <c r="C37" s="108">
        <v>17.25</v>
      </c>
      <c r="D37" s="175">
        <f>49.863*1.075*1.2</f>
        <v>64.32327</v>
      </c>
      <c r="E37" s="436"/>
      <c r="F37" s="500"/>
      <c r="G37" s="488"/>
      <c r="H37" s="490"/>
      <c r="I37" s="497"/>
      <c r="J37" s="499"/>
      <c r="K37" s="453"/>
      <c r="L37" s="500"/>
      <c r="M37" s="493"/>
      <c r="N37" s="483"/>
    </row>
    <row r="38" spans="1:14" ht="12.75">
      <c r="A38" s="439" t="s">
        <v>24</v>
      </c>
      <c r="B38" s="124" t="s">
        <v>94</v>
      </c>
      <c r="C38" s="120">
        <v>2160</v>
      </c>
      <c r="D38" s="273">
        <f>(9.7+3.879+0.437+0.015)*1.075*1.2</f>
        <v>18.09999</v>
      </c>
      <c r="E38" s="435">
        <v>45</v>
      </c>
      <c r="F38" s="360">
        <v>58.17</v>
      </c>
      <c r="G38" s="487"/>
      <c r="H38" s="489"/>
      <c r="I38" s="485"/>
      <c r="J38" s="501"/>
      <c r="K38" s="370"/>
      <c r="L38" s="360"/>
      <c r="M38" s="492"/>
      <c r="N38" s="482"/>
    </row>
    <row r="39" spans="1:14" ht="15" customHeight="1">
      <c r="A39" s="440"/>
      <c r="B39" s="125" t="s">
        <v>95</v>
      </c>
      <c r="C39" s="67">
        <v>600</v>
      </c>
      <c r="D39" s="173">
        <f>(6.15+0.97+0.437+0.015)*1.075*1.2</f>
        <v>9.767879999999998</v>
      </c>
      <c r="E39" s="436"/>
      <c r="F39" s="500"/>
      <c r="G39" s="488"/>
      <c r="H39" s="490"/>
      <c r="I39" s="485"/>
      <c r="J39" s="501"/>
      <c r="K39" s="453"/>
      <c r="L39" s="500"/>
      <c r="M39" s="493"/>
      <c r="N39" s="483"/>
    </row>
    <row r="40" spans="1:14" ht="15" customHeight="1" thickBot="1">
      <c r="A40" s="440"/>
      <c r="B40" s="125" t="s">
        <v>110</v>
      </c>
      <c r="C40" s="123">
        <v>17.25</v>
      </c>
      <c r="D40" s="175">
        <f>54.258*1.075*1.2</f>
        <v>69.99282</v>
      </c>
      <c r="E40" s="436"/>
      <c r="F40" s="500"/>
      <c r="G40" s="488"/>
      <c r="H40" s="490"/>
      <c r="I40" s="485"/>
      <c r="J40" s="501"/>
      <c r="K40" s="453"/>
      <c r="L40" s="500"/>
      <c r="M40" s="493"/>
      <c r="N40" s="483"/>
    </row>
    <row r="41" spans="1:14" ht="12.75">
      <c r="A41" s="439" t="s">
        <v>25</v>
      </c>
      <c r="B41" s="59" t="s">
        <v>94</v>
      </c>
      <c r="C41" s="92">
        <v>1770</v>
      </c>
      <c r="D41" s="172">
        <f>(9.7+3.879+0.437+0.015)*1.075*1.2</f>
        <v>18.09999</v>
      </c>
      <c r="E41" s="370">
        <v>25</v>
      </c>
      <c r="F41" s="360">
        <v>58.17</v>
      </c>
      <c r="G41" s="487"/>
      <c r="H41" s="489"/>
      <c r="I41" s="486"/>
      <c r="J41" s="502"/>
      <c r="K41" s="370"/>
      <c r="L41" s="360"/>
      <c r="M41" s="492"/>
      <c r="N41" s="482"/>
    </row>
    <row r="42" spans="1:14" ht="12.75">
      <c r="A42" s="440"/>
      <c r="B42" s="55" t="s">
        <v>95</v>
      </c>
      <c r="C42" s="91">
        <v>570</v>
      </c>
      <c r="D42" s="173">
        <f>(6.15+0.97+0.437+0.015)*1.075*1.2</f>
        <v>9.767879999999998</v>
      </c>
      <c r="E42" s="453"/>
      <c r="F42" s="500"/>
      <c r="G42" s="488"/>
      <c r="H42" s="490"/>
      <c r="I42" s="486"/>
      <c r="J42" s="502"/>
      <c r="K42" s="453"/>
      <c r="L42" s="500"/>
      <c r="M42" s="493"/>
      <c r="N42" s="483"/>
    </row>
    <row r="43" spans="1:15" ht="13.5" thickBot="1">
      <c r="A43" s="440"/>
      <c r="B43" s="55" t="s">
        <v>110</v>
      </c>
      <c r="C43" s="122">
        <v>17.25</v>
      </c>
      <c r="D43" s="175">
        <f>54.258*1.075*1.2</f>
        <v>69.99282</v>
      </c>
      <c r="E43" s="453"/>
      <c r="F43" s="500"/>
      <c r="G43" s="488"/>
      <c r="H43" s="490"/>
      <c r="I43" s="486"/>
      <c r="J43" s="502"/>
      <c r="K43" s="453"/>
      <c r="L43" s="500"/>
      <c r="M43" s="493"/>
      <c r="N43" s="483"/>
      <c r="O43" s="129"/>
    </row>
    <row r="44" spans="1:15" ht="13.5" customHeight="1">
      <c r="A44" s="503" t="s">
        <v>26</v>
      </c>
      <c r="B44" s="133" t="s">
        <v>94</v>
      </c>
      <c r="C44" s="92">
        <v>3750</v>
      </c>
      <c r="D44" s="172">
        <f>(9.7+3.879+0.437+0.015)*1.075*1.2</f>
        <v>18.09999</v>
      </c>
      <c r="E44" s="506">
        <v>15</v>
      </c>
      <c r="F44" s="509">
        <v>58.17</v>
      </c>
      <c r="G44" s="484"/>
      <c r="H44" s="484"/>
      <c r="I44" s="495"/>
      <c r="J44" s="494"/>
      <c r="K44" s="521"/>
      <c r="L44" s="360"/>
      <c r="M44" s="492"/>
      <c r="N44" s="482"/>
      <c r="O44" s="129"/>
    </row>
    <row r="45" spans="1:15" ht="13.5" customHeight="1">
      <c r="A45" s="504"/>
      <c r="B45" s="134" t="s">
        <v>95</v>
      </c>
      <c r="C45" s="91">
        <v>1110</v>
      </c>
      <c r="D45" s="173">
        <f>(6.15+0.97+0.437+0.015)*1.075*1.2</f>
        <v>9.767879999999998</v>
      </c>
      <c r="E45" s="506"/>
      <c r="F45" s="509"/>
      <c r="G45" s="484"/>
      <c r="H45" s="484"/>
      <c r="I45" s="495"/>
      <c r="J45" s="494"/>
      <c r="K45" s="522"/>
      <c r="L45" s="500"/>
      <c r="M45" s="493"/>
      <c r="N45" s="483"/>
      <c r="O45" s="129"/>
    </row>
    <row r="46" spans="1:15" ht="13.5" customHeight="1" thickBot="1">
      <c r="A46" s="505"/>
      <c r="B46" s="135" t="s">
        <v>110</v>
      </c>
      <c r="C46" s="122">
        <v>17.25</v>
      </c>
      <c r="D46" s="175">
        <f>54.258*1.075*1.2</f>
        <v>69.99282</v>
      </c>
      <c r="E46" s="506"/>
      <c r="F46" s="509"/>
      <c r="G46" s="484"/>
      <c r="H46" s="484"/>
      <c r="I46" s="495"/>
      <c r="J46" s="494"/>
      <c r="K46" s="523"/>
      <c r="L46" s="361"/>
      <c r="M46" s="527"/>
      <c r="N46" s="491"/>
      <c r="O46" s="129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29"/>
    </row>
    <row r="48" spans="1:14" s="27" customFormat="1" ht="13.5" customHeight="1">
      <c r="A48" s="510" t="s">
        <v>32</v>
      </c>
      <c r="B48" s="347"/>
      <c r="C48" s="347"/>
      <c r="D48" s="347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47" t="s">
        <v>35</v>
      </c>
      <c r="C50" s="347"/>
      <c r="D50" s="347"/>
      <c r="E50" s="348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47" t="s">
        <v>34</v>
      </c>
      <c r="C51" s="347"/>
      <c r="D51" s="347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106">
    <mergeCell ref="K44:K46"/>
    <mergeCell ref="L44:L46"/>
    <mergeCell ref="M44:M46"/>
    <mergeCell ref="K32:K34"/>
    <mergeCell ref="L32:L34"/>
    <mergeCell ref="K38:K40"/>
    <mergeCell ref="L35:L37"/>
    <mergeCell ref="M35:M37"/>
    <mergeCell ref="M38:M40"/>
    <mergeCell ref="M32:M34"/>
    <mergeCell ref="E35:E37"/>
    <mergeCell ref="J32:J34"/>
    <mergeCell ref="G35:G37"/>
    <mergeCell ref="G32:G34"/>
    <mergeCell ref="F32:F34"/>
    <mergeCell ref="F35:F37"/>
    <mergeCell ref="H35:H37"/>
    <mergeCell ref="H32:H34"/>
    <mergeCell ref="I32:I34"/>
    <mergeCell ref="E26:E28"/>
    <mergeCell ref="F26:F28"/>
    <mergeCell ref="I29:I31"/>
    <mergeCell ref="J29:J31"/>
    <mergeCell ref="F29:F31"/>
    <mergeCell ref="N32:N34"/>
    <mergeCell ref="N35:N37"/>
    <mergeCell ref="I17:I19"/>
    <mergeCell ref="J17:J19"/>
    <mergeCell ref="I20:I22"/>
    <mergeCell ref="J20:J22"/>
    <mergeCell ref="I23:I25"/>
    <mergeCell ref="I26:I28"/>
    <mergeCell ref="J23:J25"/>
    <mergeCell ref="J26:J28"/>
    <mergeCell ref="A23:A25"/>
    <mergeCell ref="A20:A22"/>
    <mergeCell ref="E20:E22"/>
    <mergeCell ref="F20:F22"/>
    <mergeCell ref="E23:E25"/>
    <mergeCell ref="F23:F25"/>
    <mergeCell ref="M9:N9"/>
    <mergeCell ref="J11:J13"/>
    <mergeCell ref="J14:J16"/>
    <mergeCell ref="B9:C10"/>
    <mergeCell ref="I9:J9"/>
    <mergeCell ref="E11:E13"/>
    <mergeCell ref="F11:F13"/>
    <mergeCell ref="E14:E16"/>
    <mergeCell ref="F14:F16"/>
    <mergeCell ref="G9:H9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K9:L9"/>
    <mergeCell ref="B51:D51"/>
    <mergeCell ref="E29:E31"/>
    <mergeCell ref="E32:E34"/>
    <mergeCell ref="F44:F46"/>
    <mergeCell ref="B50:E50"/>
    <mergeCell ref="A48:D48"/>
    <mergeCell ref="F38:F40"/>
    <mergeCell ref="A29:A31"/>
    <mergeCell ref="A32:A34"/>
    <mergeCell ref="A41:A43"/>
    <mergeCell ref="A44:A46"/>
    <mergeCell ref="E44:E46"/>
    <mergeCell ref="F9:F10"/>
    <mergeCell ref="A14:A16"/>
    <mergeCell ref="A11:A13"/>
    <mergeCell ref="A26:A28"/>
    <mergeCell ref="A17:A19"/>
    <mergeCell ref="E17:E19"/>
    <mergeCell ref="F17:F19"/>
    <mergeCell ref="A35:A37"/>
    <mergeCell ref="A38:A40"/>
    <mergeCell ref="E38:E40"/>
    <mergeCell ref="E41:E43"/>
    <mergeCell ref="J38:J40"/>
    <mergeCell ref="F41:F43"/>
    <mergeCell ref="G41:G43"/>
    <mergeCell ref="H41:H43"/>
    <mergeCell ref="J41:J43"/>
    <mergeCell ref="K41:K43"/>
    <mergeCell ref="L41:L43"/>
    <mergeCell ref="L38:L40"/>
    <mergeCell ref="K35:K37"/>
    <mergeCell ref="J44:J46"/>
    <mergeCell ref="I44:I46"/>
    <mergeCell ref="I35:I37"/>
    <mergeCell ref="J35:J37"/>
    <mergeCell ref="N38:N40"/>
    <mergeCell ref="G44:G46"/>
    <mergeCell ref="H44:H46"/>
    <mergeCell ref="I38:I40"/>
    <mergeCell ref="I41:I43"/>
    <mergeCell ref="G38:G40"/>
    <mergeCell ref="H38:H40"/>
    <mergeCell ref="N44:N46"/>
    <mergeCell ref="M41:M43"/>
    <mergeCell ref="N41:N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C34" sqref="C3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24" customFormat="1" ht="15">
      <c r="A1" s="19" t="s">
        <v>41</v>
      </c>
      <c r="B1" s="17" t="s">
        <v>45</v>
      </c>
      <c r="C1" s="17"/>
      <c r="D1" s="17"/>
      <c r="E1" s="17"/>
      <c r="F1" s="17">
        <v>50608</v>
      </c>
      <c r="G1" s="18"/>
      <c r="H1" s="18"/>
      <c r="I1" s="471" t="s">
        <v>29</v>
      </c>
      <c r="J1" s="471"/>
      <c r="K1" s="471"/>
      <c r="L1" s="18"/>
      <c r="M1" s="18"/>
      <c r="N1" s="18"/>
    </row>
    <row r="2" spans="1:14" s="24" customFormat="1" ht="15">
      <c r="A2" s="17" t="s">
        <v>1</v>
      </c>
      <c r="B2" s="17" t="s">
        <v>56</v>
      </c>
      <c r="C2" s="17"/>
      <c r="D2" s="17"/>
      <c r="E2" s="17"/>
      <c r="F2" s="17"/>
      <c r="G2" s="18"/>
      <c r="H2" s="18"/>
      <c r="I2" s="471" t="s">
        <v>2</v>
      </c>
      <c r="J2" s="471"/>
      <c r="K2" s="471"/>
      <c r="L2" s="18">
        <v>1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7"/>
      <c r="E3" s="17"/>
      <c r="F3" s="17"/>
      <c r="G3" s="18"/>
      <c r="H3" s="18"/>
      <c r="I3" s="471" t="s">
        <v>3</v>
      </c>
      <c r="J3" s="471"/>
      <c r="K3" s="471"/>
      <c r="L3" s="18">
        <v>1</v>
      </c>
      <c r="M3" s="18"/>
      <c r="N3" s="18"/>
    </row>
    <row r="4" spans="1:14" s="24" customFormat="1" ht="15">
      <c r="A4" s="17" t="s">
        <v>4</v>
      </c>
      <c r="B4" s="17">
        <v>23</v>
      </c>
      <c r="C4" s="17"/>
      <c r="D4" s="17"/>
      <c r="E4" s="17"/>
      <c r="F4" s="17"/>
      <c r="G4" s="18"/>
      <c r="H4" s="18"/>
      <c r="I4" s="17" t="s">
        <v>31</v>
      </c>
      <c r="J4" s="17"/>
      <c r="K4" s="17"/>
      <c r="L4" s="18"/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364" t="s">
        <v>27</v>
      </c>
      <c r="H9" s="365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5"/>
      <c r="B10" s="442"/>
      <c r="C10" s="356"/>
      <c r="D10" s="345"/>
      <c r="E10" s="445"/>
      <c r="F10" s="345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70" t="s">
        <v>16</v>
      </c>
      <c r="B11" s="80" t="s">
        <v>94</v>
      </c>
      <c r="C11" s="184">
        <v>1091</v>
      </c>
      <c r="D11" s="185">
        <f>(5.66+2.789+0.437+0.015)*1.075*1.2</f>
        <v>11.482289999999999</v>
      </c>
      <c r="E11" s="444">
        <f>17</f>
        <v>17</v>
      </c>
      <c r="F11" s="344">
        <v>52.47</v>
      </c>
      <c r="G11" s="14">
        <v>300.41</v>
      </c>
      <c r="H11" s="7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438"/>
      <c r="B12" s="81" t="s">
        <v>113</v>
      </c>
      <c r="C12" s="187">
        <v>17.25</v>
      </c>
      <c r="D12" s="188">
        <f>49.291*1.075*1.2</f>
        <v>63.58538999999999</v>
      </c>
      <c r="E12" s="446"/>
      <c r="F12" s="363"/>
      <c r="G12" s="121">
        <v>15506</v>
      </c>
      <c r="H12" s="7">
        <v>6.91</v>
      </c>
      <c r="I12" s="6"/>
      <c r="J12" s="7"/>
      <c r="K12" s="6"/>
      <c r="L12" s="7"/>
      <c r="M12" s="6"/>
      <c r="N12" s="7"/>
    </row>
    <row r="13" spans="1:14" ht="15" customHeight="1">
      <c r="A13" s="439" t="s">
        <v>17</v>
      </c>
      <c r="B13" s="80" t="s">
        <v>94</v>
      </c>
      <c r="C13" s="162">
        <v>1087</v>
      </c>
      <c r="D13" s="185">
        <f>(5.66+3.049+0.437+0.015)*1.075*1.2</f>
        <v>11.817689999999999</v>
      </c>
      <c r="E13" s="435">
        <v>27</v>
      </c>
      <c r="F13" s="464">
        <v>52.47</v>
      </c>
      <c r="G13" s="14">
        <v>300.41</v>
      </c>
      <c r="H13" s="7">
        <v>56.19</v>
      </c>
      <c r="I13" s="9"/>
      <c r="J13" s="10"/>
      <c r="K13" s="9"/>
      <c r="L13" s="10"/>
      <c r="M13" s="9"/>
      <c r="N13" s="10"/>
    </row>
    <row r="14" spans="1:14" ht="13.5" thickBot="1">
      <c r="A14" s="438"/>
      <c r="B14" s="81" t="s">
        <v>113</v>
      </c>
      <c r="C14" s="89">
        <v>17.25</v>
      </c>
      <c r="D14" s="188">
        <f>49.863*1.075*1.2</f>
        <v>64.32327</v>
      </c>
      <c r="E14" s="446"/>
      <c r="F14" s="475"/>
      <c r="G14" s="121">
        <v>17222</v>
      </c>
      <c r="H14" s="7">
        <v>6.91</v>
      </c>
      <c r="I14" s="12"/>
      <c r="J14" s="13"/>
      <c r="K14" s="12"/>
      <c r="L14" s="13"/>
      <c r="M14" s="12"/>
      <c r="N14" s="13"/>
    </row>
    <row r="15" spans="1:14" ht="15" customHeight="1">
      <c r="A15" s="439" t="s">
        <v>18</v>
      </c>
      <c r="B15" s="80" t="s">
        <v>94</v>
      </c>
      <c r="C15" s="162">
        <v>1081</v>
      </c>
      <c r="D15" s="185">
        <f>(5.66+3.049+0.437+0.015)*1.075*1.2</f>
        <v>11.817689999999999</v>
      </c>
      <c r="E15" s="435">
        <v>28</v>
      </c>
      <c r="F15" s="464">
        <v>52.47</v>
      </c>
      <c r="G15" s="15">
        <v>300.41</v>
      </c>
      <c r="H15" s="10">
        <v>56.19</v>
      </c>
      <c r="I15" s="9"/>
      <c r="J15" s="10"/>
      <c r="K15" s="9"/>
      <c r="L15" s="10"/>
      <c r="M15" s="9"/>
      <c r="N15" s="10"/>
    </row>
    <row r="16" spans="1:14" ht="13.5" thickBot="1">
      <c r="A16" s="438"/>
      <c r="B16" s="81" t="s">
        <v>113</v>
      </c>
      <c r="C16" s="89">
        <v>17.25</v>
      </c>
      <c r="D16" s="188">
        <f>49.863*1.075*1.2</f>
        <v>64.32327</v>
      </c>
      <c r="E16" s="446"/>
      <c r="F16" s="475"/>
      <c r="G16" s="8">
        <v>14930</v>
      </c>
      <c r="H16" s="13">
        <v>6.91</v>
      </c>
      <c r="I16" s="12"/>
      <c r="J16" s="13"/>
      <c r="K16" s="12"/>
      <c r="L16" s="13"/>
      <c r="M16" s="12"/>
      <c r="N16" s="13"/>
    </row>
    <row r="17" spans="1:14" ht="12.75">
      <c r="A17" s="439" t="s">
        <v>19</v>
      </c>
      <c r="B17" s="80" t="s">
        <v>94</v>
      </c>
      <c r="C17" s="162">
        <v>1081</v>
      </c>
      <c r="D17" s="185">
        <f>(5.66+3.049+0.437+0.015)*1.075*1.2</f>
        <v>11.817689999999999</v>
      </c>
      <c r="E17" s="435">
        <v>29</v>
      </c>
      <c r="F17" s="464">
        <v>52.47</v>
      </c>
      <c r="G17" s="15">
        <v>300.41</v>
      </c>
      <c r="H17" s="10">
        <v>56.19</v>
      </c>
      <c r="I17" s="9"/>
      <c r="J17" s="10"/>
      <c r="K17" s="9"/>
      <c r="L17" s="10"/>
      <c r="M17" s="9"/>
      <c r="N17" s="10"/>
    </row>
    <row r="18" spans="1:14" ht="13.5" thickBot="1">
      <c r="A18" s="438"/>
      <c r="B18" s="81" t="s">
        <v>113</v>
      </c>
      <c r="C18" s="89">
        <v>17.25</v>
      </c>
      <c r="D18" s="188">
        <f>49.863*1.075*1.2</f>
        <v>64.32327</v>
      </c>
      <c r="E18" s="446"/>
      <c r="F18" s="475"/>
      <c r="G18" s="8">
        <v>13006</v>
      </c>
      <c r="H18" s="13">
        <v>6.91</v>
      </c>
      <c r="I18" s="12"/>
      <c r="J18" s="13"/>
      <c r="K18" s="12"/>
      <c r="L18" s="13"/>
      <c r="M18" s="12"/>
      <c r="N18" s="13"/>
    </row>
    <row r="19" spans="1:14" ht="12.75">
      <c r="A19" s="439" t="s">
        <v>20</v>
      </c>
      <c r="B19" s="80" t="s">
        <v>94</v>
      </c>
      <c r="C19" s="162">
        <v>1397</v>
      </c>
      <c r="D19" s="185">
        <f>(5.66+3.049+0.437+0.015)*1.075*1.2</f>
        <v>11.817689999999999</v>
      </c>
      <c r="E19" s="435">
        <v>28</v>
      </c>
      <c r="F19" s="464">
        <v>52.47</v>
      </c>
      <c r="G19" s="15">
        <v>300.41</v>
      </c>
      <c r="H19" s="10">
        <v>56.19</v>
      </c>
      <c r="I19" s="9"/>
      <c r="J19" s="10"/>
      <c r="K19" s="9"/>
      <c r="L19" s="10"/>
      <c r="M19" s="9"/>
      <c r="N19" s="10"/>
    </row>
    <row r="20" spans="1:14" ht="13.5" thickBot="1">
      <c r="A20" s="438"/>
      <c r="B20" s="81" t="s">
        <v>113</v>
      </c>
      <c r="C20" s="89">
        <v>17.25</v>
      </c>
      <c r="D20" s="188">
        <f>49.863*1.075*1.2</f>
        <v>64.32327</v>
      </c>
      <c r="E20" s="446"/>
      <c r="F20" s="475"/>
      <c r="G20" s="8">
        <v>0</v>
      </c>
      <c r="H20" s="13">
        <v>6.91</v>
      </c>
      <c r="I20" s="12"/>
      <c r="J20" s="13"/>
      <c r="K20" s="12"/>
      <c r="L20" s="13"/>
      <c r="M20" s="12"/>
      <c r="N20" s="13"/>
    </row>
    <row r="21" spans="1:14" ht="12.75">
      <c r="A21" s="439" t="s">
        <v>68</v>
      </c>
      <c r="B21" s="80" t="s">
        <v>94</v>
      </c>
      <c r="C21" s="162">
        <v>1174</v>
      </c>
      <c r="D21" s="185">
        <f>(5.66+3.049+0.437+0.015)*1.075*1.2</f>
        <v>11.817689999999999</v>
      </c>
      <c r="E21" s="435">
        <v>34</v>
      </c>
      <c r="F21" s="464">
        <v>52.47</v>
      </c>
      <c r="G21" s="15">
        <v>300.41</v>
      </c>
      <c r="H21" s="10">
        <v>56.19</v>
      </c>
      <c r="I21" s="9"/>
      <c r="J21" s="10"/>
      <c r="K21" s="9"/>
      <c r="L21" s="10"/>
      <c r="M21" s="9"/>
      <c r="N21" s="10"/>
    </row>
    <row r="22" spans="1:14" ht="13.5" thickBot="1">
      <c r="A22" s="438"/>
      <c r="B22" s="81" t="s">
        <v>113</v>
      </c>
      <c r="C22" s="89">
        <v>17.25</v>
      </c>
      <c r="D22" s="188">
        <f>49.863*1.075*1.2</f>
        <v>64.32327</v>
      </c>
      <c r="E22" s="446"/>
      <c r="F22" s="475"/>
      <c r="G22" s="8">
        <v>0</v>
      </c>
      <c r="H22" s="13">
        <v>6.91</v>
      </c>
      <c r="I22" s="12"/>
      <c r="J22" s="13"/>
      <c r="K22" s="12"/>
      <c r="L22" s="13"/>
      <c r="M22" s="12"/>
      <c r="N22" s="13"/>
    </row>
    <row r="23" spans="1:14" ht="12.75">
      <c r="A23" s="439" t="s">
        <v>69</v>
      </c>
      <c r="B23" s="80" t="s">
        <v>94</v>
      </c>
      <c r="C23" s="162">
        <v>1030</v>
      </c>
      <c r="D23" s="185">
        <f>(5.66+3.049+0.437+0.015)*1.075*1.2</f>
        <v>11.817689999999999</v>
      </c>
      <c r="E23" s="435">
        <v>39</v>
      </c>
      <c r="F23" s="464">
        <v>52.47</v>
      </c>
      <c r="G23" s="15">
        <v>300.41</v>
      </c>
      <c r="H23" s="10">
        <v>56.19</v>
      </c>
      <c r="I23" s="9"/>
      <c r="J23" s="10"/>
      <c r="K23" s="9"/>
      <c r="L23" s="10"/>
      <c r="M23" s="9"/>
      <c r="N23" s="10"/>
    </row>
    <row r="24" spans="1:14" ht="13.5" thickBot="1">
      <c r="A24" s="438"/>
      <c r="B24" s="81" t="s">
        <v>113</v>
      </c>
      <c r="C24" s="89">
        <v>17.25</v>
      </c>
      <c r="D24" s="188">
        <f>49.863*1.075*1.2</f>
        <v>64.32327</v>
      </c>
      <c r="E24" s="446"/>
      <c r="F24" s="475"/>
      <c r="G24" s="8">
        <v>0</v>
      </c>
      <c r="H24" s="13">
        <v>6.91</v>
      </c>
      <c r="I24" s="12"/>
      <c r="J24" s="13"/>
      <c r="K24" s="12"/>
      <c r="L24" s="13"/>
      <c r="M24" s="12"/>
      <c r="N24" s="13"/>
    </row>
    <row r="25" spans="1:14" ht="12.75">
      <c r="A25" s="439" t="s">
        <v>22</v>
      </c>
      <c r="B25" s="80" t="s">
        <v>94</v>
      </c>
      <c r="C25" s="162">
        <v>909</v>
      </c>
      <c r="D25" s="185">
        <f>(5.66+3.049+0.437+0.015)*1.075*1.2</f>
        <v>11.817689999999999</v>
      </c>
      <c r="E25" s="435">
        <v>30</v>
      </c>
      <c r="F25" s="464">
        <v>52.47</v>
      </c>
      <c r="G25" s="15">
        <v>300.41</v>
      </c>
      <c r="H25" s="10">
        <v>56.19</v>
      </c>
      <c r="I25" s="12"/>
      <c r="J25" s="13"/>
      <c r="K25" s="12"/>
      <c r="L25" s="13"/>
      <c r="M25" s="12"/>
      <c r="N25" s="13"/>
    </row>
    <row r="26" spans="1:14" ht="13.5" thickBot="1">
      <c r="A26" s="438"/>
      <c r="B26" s="81" t="s">
        <v>113</v>
      </c>
      <c r="C26" s="89">
        <v>17.25</v>
      </c>
      <c r="D26" s="188">
        <f>49.863*1.075*1.2</f>
        <v>64.32327</v>
      </c>
      <c r="E26" s="446"/>
      <c r="F26" s="475"/>
      <c r="G26" s="8">
        <v>0</v>
      </c>
      <c r="H26" s="13">
        <v>6.91</v>
      </c>
      <c r="I26" s="4"/>
      <c r="J26" s="5"/>
      <c r="K26" s="4"/>
      <c r="L26" s="5"/>
      <c r="M26" s="4"/>
      <c r="N26" s="5"/>
    </row>
    <row r="27" spans="1:14" ht="12.75">
      <c r="A27" s="439" t="s">
        <v>23</v>
      </c>
      <c r="B27" s="80" t="s">
        <v>94</v>
      </c>
      <c r="C27" s="162">
        <v>1123</v>
      </c>
      <c r="D27" s="185">
        <f>(8.73+3.049+0.437+0.015)*1.075*1.2</f>
        <v>15.777989999999999</v>
      </c>
      <c r="E27" s="435">
        <v>43</v>
      </c>
      <c r="F27" s="464">
        <v>58.17</v>
      </c>
      <c r="G27" s="15">
        <v>300.41</v>
      </c>
      <c r="H27" s="10">
        <v>56.19</v>
      </c>
      <c r="I27" s="4"/>
      <c r="J27" s="5"/>
      <c r="K27" s="4"/>
      <c r="L27" s="5"/>
      <c r="M27" s="4"/>
      <c r="N27" s="5"/>
    </row>
    <row r="28" spans="1:14" ht="13.5" thickBot="1">
      <c r="A28" s="438"/>
      <c r="B28" s="81" t="s">
        <v>113</v>
      </c>
      <c r="C28" s="89">
        <v>17.25</v>
      </c>
      <c r="D28" s="188">
        <f>49.863*1.075*1.2</f>
        <v>64.32327</v>
      </c>
      <c r="E28" s="446"/>
      <c r="F28" s="475"/>
      <c r="G28" s="8">
        <v>0</v>
      </c>
      <c r="H28" s="13">
        <v>6.91</v>
      </c>
      <c r="I28" s="4"/>
      <c r="J28" s="5"/>
      <c r="K28" s="4"/>
      <c r="L28" s="5"/>
      <c r="M28" s="4"/>
      <c r="N28" s="5"/>
    </row>
    <row r="29" spans="1:14" ht="12.75">
      <c r="A29" s="439" t="s">
        <v>24</v>
      </c>
      <c r="B29" s="80" t="s">
        <v>94</v>
      </c>
      <c r="C29" s="162">
        <v>1121</v>
      </c>
      <c r="D29" s="185">
        <f>(8.73+3.394+0.437+0.015)*1.075*1.2</f>
        <v>16.223039999999997</v>
      </c>
      <c r="E29" s="435">
        <v>40</v>
      </c>
      <c r="F29" s="464">
        <v>58.17</v>
      </c>
      <c r="G29" s="15">
        <v>300.41</v>
      </c>
      <c r="H29" s="10">
        <v>56.19</v>
      </c>
      <c r="I29" s="4"/>
      <c r="J29" s="5"/>
      <c r="K29" s="4"/>
      <c r="L29" s="5"/>
      <c r="M29" s="4"/>
      <c r="N29" s="5"/>
    </row>
    <row r="30" spans="1:14" ht="13.5" thickBot="1">
      <c r="A30" s="438"/>
      <c r="B30" s="81" t="s">
        <v>113</v>
      </c>
      <c r="C30" s="89">
        <v>17.25</v>
      </c>
      <c r="D30" s="188">
        <f>54.258*1.075*1.2</f>
        <v>69.99282</v>
      </c>
      <c r="E30" s="446"/>
      <c r="F30" s="475"/>
      <c r="G30" s="259">
        <v>7813</v>
      </c>
      <c r="H30" s="13">
        <v>6.91</v>
      </c>
      <c r="I30" s="4"/>
      <c r="J30" s="5"/>
      <c r="K30" s="4"/>
      <c r="L30" s="5"/>
      <c r="M30" s="4"/>
      <c r="N30" s="5"/>
    </row>
    <row r="31" spans="1:14" ht="12.75">
      <c r="A31" s="439" t="s">
        <v>25</v>
      </c>
      <c r="B31" s="80" t="s">
        <v>94</v>
      </c>
      <c r="C31" s="162">
        <v>1262</v>
      </c>
      <c r="D31" s="185">
        <f>(8.73+3.394+0.437+0.015)*1.075*1.2</f>
        <v>16.223039999999997</v>
      </c>
      <c r="E31" s="435">
        <v>16</v>
      </c>
      <c r="F31" s="464">
        <v>58.17</v>
      </c>
      <c r="G31" s="15">
        <v>300.41</v>
      </c>
      <c r="H31" s="10">
        <v>56.19</v>
      </c>
      <c r="I31" s="4"/>
      <c r="J31" s="5"/>
      <c r="K31" s="4"/>
      <c r="L31" s="5"/>
      <c r="M31" s="4"/>
      <c r="N31" s="5"/>
    </row>
    <row r="32" spans="1:14" ht="13.5" thickBot="1">
      <c r="A32" s="438"/>
      <c r="B32" s="81" t="s">
        <v>113</v>
      </c>
      <c r="C32" s="89">
        <v>17.25</v>
      </c>
      <c r="D32" s="188">
        <f>54.258*1.075*1.2</f>
        <v>69.99282</v>
      </c>
      <c r="E32" s="446"/>
      <c r="F32" s="475"/>
      <c r="G32" s="259">
        <v>11083</v>
      </c>
      <c r="H32" s="13">
        <v>6.91</v>
      </c>
      <c r="I32" s="4"/>
      <c r="J32" s="5"/>
      <c r="K32" s="4"/>
      <c r="L32" s="5"/>
      <c r="M32" s="4"/>
      <c r="N32" s="5"/>
    </row>
    <row r="33" spans="1:14" ht="12.75">
      <c r="A33" s="439" t="s">
        <v>26</v>
      </c>
      <c r="B33" s="80" t="s">
        <v>94</v>
      </c>
      <c r="C33" s="162">
        <v>1179</v>
      </c>
      <c r="D33" s="185">
        <f>(8.73+3.394+0.437+0.015)*1.075*1.2</f>
        <v>16.223039999999997</v>
      </c>
      <c r="E33" s="435">
        <v>27</v>
      </c>
      <c r="F33" s="464">
        <v>58.17</v>
      </c>
      <c r="G33" s="15">
        <v>300.41</v>
      </c>
      <c r="H33" s="10">
        <v>56.19</v>
      </c>
      <c r="I33" s="9"/>
      <c r="J33" s="10"/>
      <c r="K33" s="9"/>
      <c r="L33" s="10"/>
      <c r="M33" s="9"/>
      <c r="N33" s="10"/>
    </row>
    <row r="34" spans="1:14" ht="13.5" thickBot="1">
      <c r="A34" s="472"/>
      <c r="B34" s="81" t="s">
        <v>113</v>
      </c>
      <c r="C34" s="89">
        <v>17.25</v>
      </c>
      <c r="D34" s="188">
        <f>54.258*1.075*1.2</f>
        <v>69.99282</v>
      </c>
      <c r="E34" s="445"/>
      <c r="F34" s="528"/>
      <c r="G34" s="259">
        <v>13594</v>
      </c>
      <c r="H34" s="13">
        <v>6.91</v>
      </c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347" t="s">
        <v>32</v>
      </c>
      <c r="B36" s="347"/>
      <c r="C36" s="347"/>
      <c r="D36" s="348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 t="s">
        <v>33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347" t="s">
        <v>35</v>
      </c>
      <c r="C38" s="347"/>
      <c r="D38" s="347"/>
      <c r="E38" s="348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347" t="s">
        <v>34</v>
      </c>
      <c r="C39" s="347"/>
      <c r="D39" s="347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7" customFormat="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</sheetData>
  <sheetProtection/>
  <mergeCells count="55">
    <mergeCell ref="I1:K1"/>
    <mergeCell ref="I2:K2"/>
    <mergeCell ref="I3:K3"/>
    <mergeCell ref="K9:L9"/>
    <mergeCell ref="I9:J9"/>
    <mergeCell ref="B9:C10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E9:E10"/>
    <mergeCell ref="F9:F10"/>
    <mergeCell ref="G9:H9"/>
    <mergeCell ref="F19:F20"/>
    <mergeCell ref="F13:F14"/>
    <mergeCell ref="E13:E14"/>
    <mergeCell ref="F11:F12"/>
    <mergeCell ref="F15:F16"/>
    <mergeCell ref="F17:F18"/>
    <mergeCell ref="B39:D39"/>
    <mergeCell ref="A11:A12"/>
    <mergeCell ref="A13:A14"/>
    <mergeCell ref="B38:E38"/>
    <mergeCell ref="A33:A34"/>
    <mergeCell ref="E33:E34"/>
    <mergeCell ref="A27:A28"/>
    <mergeCell ref="F23:F24"/>
    <mergeCell ref="A15:A16"/>
    <mergeCell ref="E15:E16"/>
    <mergeCell ref="A19:A20"/>
    <mergeCell ref="E19:E20"/>
    <mergeCell ref="E17:E18"/>
    <mergeCell ref="A17:A18"/>
    <mergeCell ref="F33:F34"/>
    <mergeCell ref="A31:A32"/>
    <mergeCell ref="A29:A30"/>
    <mergeCell ref="E29:E30"/>
    <mergeCell ref="F29:F30"/>
    <mergeCell ref="E31:E32"/>
    <mergeCell ref="F31:F32"/>
    <mergeCell ref="F27:F28"/>
    <mergeCell ref="A23:A24"/>
    <mergeCell ref="A21:A22"/>
    <mergeCell ref="E21:E22"/>
    <mergeCell ref="F21:F22"/>
    <mergeCell ref="F25:F26"/>
    <mergeCell ref="E27:E28"/>
    <mergeCell ref="A25:A26"/>
    <mergeCell ref="E25:E26"/>
    <mergeCell ref="E23:E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49">
      <selection activeCell="E60" sqref="E60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24" customFormat="1" ht="15">
      <c r="A1" s="19" t="s">
        <v>41</v>
      </c>
      <c r="B1" s="17" t="s">
        <v>39</v>
      </c>
      <c r="C1" s="17"/>
      <c r="E1" s="18">
        <v>50735</v>
      </c>
      <c r="F1" s="18"/>
      <c r="G1" s="18"/>
      <c r="H1" s="18"/>
      <c r="I1" s="471" t="s">
        <v>29</v>
      </c>
      <c r="J1" s="471"/>
      <c r="K1" s="471"/>
      <c r="L1" s="28">
        <v>1035</v>
      </c>
      <c r="M1" s="18"/>
      <c r="N1" s="18"/>
    </row>
    <row r="2" spans="1:14" s="24" customFormat="1" ht="15">
      <c r="A2" s="17" t="s">
        <v>1</v>
      </c>
      <c r="B2" s="33" t="s">
        <v>116</v>
      </c>
      <c r="C2" s="17"/>
      <c r="D2" s="18"/>
      <c r="E2" s="18">
        <v>51975</v>
      </c>
      <c r="F2" s="18"/>
      <c r="G2" s="18"/>
      <c r="H2" s="18"/>
      <c r="I2" s="471" t="s">
        <v>2</v>
      </c>
      <c r="J2" s="471"/>
      <c r="K2" s="471"/>
      <c r="L2" s="18" t="s">
        <v>49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71" t="s">
        <v>3</v>
      </c>
      <c r="J3" s="471"/>
      <c r="K3" s="471"/>
      <c r="L3" s="18">
        <v>5</v>
      </c>
      <c r="M3" s="18"/>
      <c r="N3" s="18"/>
    </row>
    <row r="4" spans="1:14" s="24" customFormat="1" ht="15">
      <c r="A4" s="17" t="s">
        <v>4</v>
      </c>
      <c r="B4" s="18" t="s">
        <v>49</v>
      </c>
      <c r="C4" s="18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473" t="s">
        <v>27</v>
      </c>
      <c r="H9" s="474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4"/>
      <c r="B10" s="331"/>
      <c r="C10" s="453"/>
      <c r="D10" s="431"/>
      <c r="E10" s="445"/>
      <c r="F10" s="345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31" t="s">
        <v>16</v>
      </c>
      <c r="B11" s="109" t="s">
        <v>94</v>
      </c>
      <c r="C11" s="248">
        <v>16919</v>
      </c>
      <c r="D11" s="172">
        <f>(6.29+2.177+0.437+0.015)*1.075*1.2</f>
        <v>11.50551</v>
      </c>
      <c r="E11" s="372">
        <f>117+83</f>
        <v>200</v>
      </c>
      <c r="F11" s="344">
        <v>52.47</v>
      </c>
      <c r="G11" s="529">
        <v>764.5</v>
      </c>
      <c r="H11" s="344">
        <v>56.19</v>
      </c>
      <c r="I11" s="6"/>
      <c r="J11" s="7"/>
      <c r="K11" s="6"/>
      <c r="L11" s="7"/>
      <c r="M11" s="6"/>
      <c r="N11" s="7"/>
    </row>
    <row r="12" spans="1:14" ht="16.5" customHeight="1">
      <c r="A12" s="532"/>
      <c r="B12" s="110" t="s">
        <v>95</v>
      </c>
      <c r="C12" s="70">
        <v>6134</v>
      </c>
      <c r="D12" s="173">
        <f>(4.04+0.726+0.437+0.015)*1.075*1.2</f>
        <v>6.7312199999999995</v>
      </c>
      <c r="E12" s="453"/>
      <c r="F12" s="431"/>
      <c r="G12" s="424"/>
      <c r="H12" s="431"/>
      <c r="I12" s="6"/>
      <c r="J12" s="7"/>
      <c r="K12" s="6"/>
      <c r="L12" s="7"/>
      <c r="M12" s="6"/>
      <c r="N12" s="7"/>
    </row>
    <row r="13" spans="1:14" ht="16.5" customHeight="1">
      <c r="A13" s="532"/>
      <c r="B13" s="110" t="s">
        <v>113</v>
      </c>
      <c r="C13" s="70">
        <v>232</v>
      </c>
      <c r="D13" s="173">
        <f>157.732*1.075*1.2</f>
        <v>203.47427999999996</v>
      </c>
      <c r="E13" s="453"/>
      <c r="F13" s="431"/>
      <c r="G13" s="428">
        <v>14450</v>
      </c>
      <c r="H13" s="431">
        <v>6.91</v>
      </c>
      <c r="I13" s="6"/>
      <c r="J13" s="7"/>
      <c r="K13" s="6"/>
      <c r="L13" s="7"/>
      <c r="M13" s="6"/>
      <c r="N13" s="7"/>
    </row>
    <row r="14" spans="1:14" ht="13.5" customHeight="1" thickBot="1">
      <c r="A14" s="533"/>
      <c r="B14" s="111" t="s">
        <v>112</v>
      </c>
      <c r="C14" s="119">
        <v>4475</v>
      </c>
      <c r="D14" s="118">
        <f>1.048*1.075*1.2</f>
        <v>1.35192</v>
      </c>
      <c r="E14" s="371"/>
      <c r="F14" s="363"/>
      <c r="G14" s="428"/>
      <c r="H14" s="431"/>
      <c r="I14" s="6"/>
      <c r="J14" s="7"/>
      <c r="K14" s="6"/>
      <c r="L14" s="7"/>
      <c r="M14" s="6"/>
      <c r="N14" s="7"/>
    </row>
    <row r="15" spans="1:14" ht="13.5" thickTop="1">
      <c r="A15" s="438" t="s">
        <v>17</v>
      </c>
      <c r="B15" s="110" t="s">
        <v>94</v>
      </c>
      <c r="C15" s="68">
        <v>17227</v>
      </c>
      <c r="D15" s="172">
        <f>(6.29+2.241+0.437+0.015)*1.075*1.2</f>
        <v>11.58807</v>
      </c>
      <c r="E15" s="435">
        <f>140+121</f>
        <v>261</v>
      </c>
      <c r="F15" s="360">
        <v>52.47</v>
      </c>
      <c r="G15" s="529">
        <v>764.5</v>
      </c>
      <c r="H15" s="344">
        <v>56.19</v>
      </c>
      <c r="I15" s="66"/>
      <c r="J15" s="10"/>
      <c r="K15" s="9"/>
      <c r="L15" s="10"/>
      <c r="M15" s="9"/>
      <c r="N15" s="10"/>
    </row>
    <row r="16" spans="1:14" ht="12.75">
      <c r="A16" s="443"/>
      <c r="B16" s="110" t="s">
        <v>95</v>
      </c>
      <c r="C16" s="68">
        <v>6236</v>
      </c>
      <c r="D16" s="173">
        <f>(4.04+0.747+0.437+0.015)*1.075*1.2</f>
        <v>6.75831</v>
      </c>
      <c r="E16" s="436"/>
      <c r="F16" s="500"/>
      <c r="G16" s="424"/>
      <c r="H16" s="431"/>
      <c r="I16" s="74"/>
      <c r="J16" s="7"/>
      <c r="K16" s="6"/>
      <c r="L16" s="7"/>
      <c r="M16" s="6"/>
      <c r="N16" s="7"/>
    </row>
    <row r="17" spans="1:14" ht="12.75">
      <c r="A17" s="443"/>
      <c r="B17" s="110" t="s">
        <v>113</v>
      </c>
      <c r="C17" s="68">
        <v>232</v>
      </c>
      <c r="D17" s="173">
        <f>159.562*1.075*1.2</f>
        <v>205.83498</v>
      </c>
      <c r="E17" s="436"/>
      <c r="F17" s="500"/>
      <c r="G17" s="428">
        <v>15400</v>
      </c>
      <c r="H17" s="431">
        <v>6.91</v>
      </c>
      <c r="I17" s="74"/>
      <c r="J17" s="7"/>
      <c r="K17" s="6"/>
      <c r="L17" s="7"/>
      <c r="M17" s="6"/>
      <c r="N17" s="7"/>
    </row>
    <row r="18" spans="1:14" ht="14.25" customHeight="1" thickBot="1">
      <c r="A18" s="443"/>
      <c r="B18" s="111" t="s">
        <v>112</v>
      </c>
      <c r="C18" s="119">
        <v>3833</v>
      </c>
      <c r="D18" s="118">
        <f>1.007*1.075*1.2</f>
        <v>1.2990299999999997</v>
      </c>
      <c r="E18" s="446"/>
      <c r="F18" s="361"/>
      <c r="G18" s="428"/>
      <c r="H18" s="431"/>
      <c r="I18" s="74"/>
      <c r="J18" s="7"/>
      <c r="K18" s="6"/>
      <c r="L18" s="7"/>
      <c r="M18" s="6"/>
      <c r="N18" s="7"/>
    </row>
    <row r="19" spans="1:14" ht="14.25" customHeight="1" thickTop="1">
      <c r="A19" s="443" t="s">
        <v>18</v>
      </c>
      <c r="B19" s="109" t="s">
        <v>94</v>
      </c>
      <c r="C19" s="120">
        <v>16790</v>
      </c>
      <c r="D19" s="172">
        <f>(6.29+2.241+0.437+0.015)*1.075*1.2</f>
        <v>11.58807</v>
      </c>
      <c r="E19" s="435">
        <f>163+151</f>
        <v>314</v>
      </c>
      <c r="F19" s="360">
        <v>52.47</v>
      </c>
      <c r="G19" s="529">
        <v>764.5</v>
      </c>
      <c r="H19" s="344">
        <v>56.19</v>
      </c>
      <c r="I19" s="66"/>
      <c r="J19" s="10"/>
      <c r="K19" s="9"/>
      <c r="L19" s="10"/>
      <c r="M19" s="9"/>
      <c r="N19" s="10"/>
    </row>
    <row r="20" spans="1:14" ht="14.25" customHeight="1">
      <c r="A20" s="443"/>
      <c r="B20" s="110" t="s">
        <v>95</v>
      </c>
      <c r="C20" s="68">
        <v>8108</v>
      </c>
      <c r="D20" s="173">
        <f>(4.04+0.747+0.437+0.015)*1.075*1.2</f>
        <v>6.75831</v>
      </c>
      <c r="E20" s="436"/>
      <c r="F20" s="500"/>
      <c r="G20" s="424"/>
      <c r="H20" s="431"/>
      <c r="I20" s="74"/>
      <c r="J20" s="7"/>
      <c r="K20" s="6"/>
      <c r="L20" s="7"/>
      <c r="M20" s="6"/>
      <c r="N20" s="7"/>
    </row>
    <row r="21" spans="1:14" ht="14.25" customHeight="1">
      <c r="A21" s="443"/>
      <c r="B21" s="110" t="s">
        <v>113</v>
      </c>
      <c r="C21" s="68">
        <v>232</v>
      </c>
      <c r="D21" s="173">
        <f>159.562*1.075*1.2</f>
        <v>205.83498</v>
      </c>
      <c r="E21" s="436"/>
      <c r="F21" s="500"/>
      <c r="G21" s="424">
        <v>14800</v>
      </c>
      <c r="H21" s="431">
        <v>6.91</v>
      </c>
      <c r="I21" s="74"/>
      <c r="J21" s="7"/>
      <c r="K21" s="6"/>
      <c r="L21" s="7"/>
      <c r="M21" s="6"/>
      <c r="N21" s="7"/>
    </row>
    <row r="22" spans="1:14" ht="13.5" thickBot="1">
      <c r="A22" s="443"/>
      <c r="B22" s="111" t="s">
        <v>112</v>
      </c>
      <c r="C22" s="119">
        <v>4052</v>
      </c>
      <c r="D22" s="118">
        <f>1.007*1.075*1.2</f>
        <v>1.2990299999999997</v>
      </c>
      <c r="E22" s="446"/>
      <c r="F22" s="361"/>
      <c r="G22" s="424"/>
      <c r="H22" s="431"/>
      <c r="I22" s="74"/>
      <c r="J22" s="7"/>
      <c r="K22" s="6"/>
      <c r="L22" s="7"/>
      <c r="M22" s="6"/>
      <c r="N22" s="7"/>
    </row>
    <row r="23" spans="1:19" ht="14.25" customHeight="1" thickTop="1">
      <c r="A23" s="443" t="s">
        <v>19</v>
      </c>
      <c r="B23" s="109" t="s">
        <v>94</v>
      </c>
      <c r="C23" s="120">
        <v>14040</v>
      </c>
      <c r="D23" s="172">
        <f>(6.29+2.241+0.437+0.015)*1.075*1.2</f>
        <v>11.58807</v>
      </c>
      <c r="E23" s="435">
        <f>133+116</f>
        <v>249</v>
      </c>
      <c r="F23" s="360">
        <v>52.47</v>
      </c>
      <c r="G23" s="529">
        <v>764.5</v>
      </c>
      <c r="H23" s="344">
        <v>56.19</v>
      </c>
      <c r="I23" s="105"/>
      <c r="J23" s="197"/>
      <c r="K23" s="9"/>
      <c r="L23" s="10"/>
      <c r="M23" s="9"/>
      <c r="N23" s="10"/>
      <c r="S23">
        <v>232</v>
      </c>
    </row>
    <row r="24" spans="1:19" ht="14.25" customHeight="1">
      <c r="A24" s="443"/>
      <c r="B24" s="110" t="s">
        <v>95</v>
      </c>
      <c r="C24" s="68">
        <v>7680</v>
      </c>
      <c r="D24" s="173">
        <f>(4.04+0.747+0.437+0.015)*1.075*1.2</f>
        <v>6.75831</v>
      </c>
      <c r="E24" s="436"/>
      <c r="F24" s="500"/>
      <c r="G24" s="424"/>
      <c r="H24" s="431"/>
      <c r="I24" s="195"/>
      <c r="J24" s="225"/>
      <c r="K24" s="6"/>
      <c r="L24" s="7"/>
      <c r="M24" s="6"/>
      <c r="N24" s="7"/>
      <c r="S24">
        <v>148.844</v>
      </c>
    </row>
    <row r="25" spans="1:14" ht="14.25" customHeight="1">
      <c r="A25" s="443"/>
      <c r="B25" s="110" t="s">
        <v>113</v>
      </c>
      <c r="C25" s="68">
        <v>232</v>
      </c>
      <c r="D25" s="173">
        <f>159.562*1.075*1.2</f>
        <v>205.83498</v>
      </c>
      <c r="E25" s="436"/>
      <c r="F25" s="500"/>
      <c r="G25" s="424">
        <v>12390</v>
      </c>
      <c r="H25" s="431">
        <v>6.91</v>
      </c>
      <c r="I25" s="195"/>
      <c r="J25" s="225"/>
      <c r="K25" s="6"/>
      <c r="L25" s="7"/>
      <c r="M25" s="6"/>
      <c r="N25" s="7"/>
    </row>
    <row r="26" spans="1:14" ht="13.5" thickBot="1">
      <c r="A26" s="443"/>
      <c r="B26" s="111" t="s">
        <v>112</v>
      </c>
      <c r="C26" s="119">
        <v>4080</v>
      </c>
      <c r="D26" s="118">
        <f>1.007*1.075*1.2</f>
        <v>1.2990299999999997</v>
      </c>
      <c r="E26" s="446"/>
      <c r="F26" s="361"/>
      <c r="G26" s="424"/>
      <c r="H26" s="431"/>
      <c r="I26" s="196"/>
      <c r="J26" s="225"/>
      <c r="K26" s="6"/>
      <c r="L26" s="7"/>
      <c r="M26" s="6"/>
      <c r="N26" s="7"/>
    </row>
    <row r="27" spans="1:14" ht="12.75" customHeight="1" thickTop="1">
      <c r="A27" s="439" t="s">
        <v>20</v>
      </c>
      <c r="B27" s="109" t="s">
        <v>94</v>
      </c>
      <c r="C27" s="120">
        <v>13440</v>
      </c>
      <c r="D27" s="172">
        <f>(6.29+2.241+0.437+0.015)*1.075*1.2</f>
        <v>11.58807</v>
      </c>
      <c r="E27" s="435">
        <f>155+109</f>
        <v>264</v>
      </c>
      <c r="F27" s="360">
        <v>52.47</v>
      </c>
      <c r="G27" s="529">
        <v>764.5</v>
      </c>
      <c r="H27" s="344">
        <v>56.19</v>
      </c>
      <c r="I27" s="74"/>
      <c r="J27" s="10"/>
      <c r="K27" s="9"/>
      <c r="L27" s="10"/>
      <c r="M27" s="9"/>
      <c r="N27" s="10"/>
    </row>
    <row r="28" spans="1:14" ht="12.75" customHeight="1">
      <c r="A28" s="440"/>
      <c r="B28" s="110" t="s">
        <v>95</v>
      </c>
      <c r="C28" s="68">
        <v>7080</v>
      </c>
      <c r="D28" s="173">
        <f>(4.04+0.747+0.437+0.015)*1.075*1.2</f>
        <v>6.75831</v>
      </c>
      <c r="E28" s="436"/>
      <c r="F28" s="500"/>
      <c r="G28" s="424"/>
      <c r="H28" s="431"/>
      <c r="I28" s="74"/>
      <c r="J28" s="7"/>
      <c r="K28" s="6"/>
      <c r="L28" s="7"/>
      <c r="M28" s="6"/>
      <c r="N28" s="7"/>
    </row>
    <row r="29" spans="1:14" ht="12.75" customHeight="1">
      <c r="A29" s="440"/>
      <c r="B29" s="110" t="s">
        <v>113</v>
      </c>
      <c r="C29" s="68">
        <v>232</v>
      </c>
      <c r="D29" s="173">
        <f>159.562*1.075*1.2</f>
        <v>205.83498</v>
      </c>
      <c r="E29" s="436"/>
      <c r="F29" s="500"/>
      <c r="G29" s="424">
        <v>0</v>
      </c>
      <c r="H29" s="431">
        <v>6.91</v>
      </c>
      <c r="I29" s="74"/>
      <c r="J29" s="7"/>
      <c r="K29" s="6"/>
      <c r="L29" s="7"/>
      <c r="M29" s="6"/>
      <c r="N29" s="7"/>
    </row>
    <row r="30" spans="1:14" ht="12.75" customHeight="1" thickBot="1">
      <c r="A30" s="440"/>
      <c r="B30" s="111" t="s">
        <v>112</v>
      </c>
      <c r="C30" s="119">
        <v>4740</v>
      </c>
      <c r="D30" s="118">
        <f>1.007*1.075*1.2</f>
        <v>1.2990299999999997</v>
      </c>
      <c r="E30" s="436"/>
      <c r="F30" s="500"/>
      <c r="G30" s="424"/>
      <c r="H30" s="431"/>
      <c r="I30" s="74"/>
      <c r="J30" s="7"/>
      <c r="K30" s="6"/>
      <c r="L30" s="7"/>
      <c r="M30" s="6"/>
      <c r="N30" s="7"/>
    </row>
    <row r="31" spans="1:14" ht="12.75" customHeight="1" thickTop="1">
      <c r="A31" s="439" t="s">
        <v>68</v>
      </c>
      <c r="B31" s="109" t="s">
        <v>94</v>
      </c>
      <c r="C31" s="120">
        <v>14520</v>
      </c>
      <c r="D31" s="172">
        <f>(6.29+2.241+0.437+0.015)*1.075*1.2</f>
        <v>11.58807</v>
      </c>
      <c r="E31" s="435">
        <f>212+151</f>
        <v>363</v>
      </c>
      <c r="F31" s="360">
        <v>52.47</v>
      </c>
      <c r="G31" s="529">
        <v>764.5</v>
      </c>
      <c r="H31" s="344">
        <v>56.19</v>
      </c>
      <c r="I31" s="66"/>
      <c r="J31" s="10"/>
      <c r="K31" s="9"/>
      <c r="L31" s="10"/>
      <c r="M31" s="9"/>
      <c r="N31" s="10"/>
    </row>
    <row r="32" spans="1:14" ht="12.75" customHeight="1">
      <c r="A32" s="440"/>
      <c r="B32" s="110" t="s">
        <v>95</v>
      </c>
      <c r="C32" s="68">
        <v>7020</v>
      </c>
      <c r="D32" s="173">
        <f>(4.04+0.747+0.437+0.015)*1.075*1.2</f>
        <v>6.75831</v>
      </c>
      <c r="E32" s="436"/>
      <c r="F32" s="500"/>
      <c r="G32" s="424"/>
      <c r="H32" s="431"/>
      <c r="I32" s="74"/>
      <c r="J32" s="7"/>
      <c r="K32" s="6"/>
      <c r="L32" s="7"/>
      <c r="M32" s="6"/>
      <c r="N32" s="7"/>
    </row>
    <row r="33" spans="1:14" ht="12.75" customHeight="1">
      <c r="A33" s="440"/>
      <c r="B33" s="110" t="s">
        <v>113</v>
      </c>
      <c r="C33" s="68">
        <v>232</v>
      </c>
      <c r="D33" s="173">
        <f>159.562*1.075*1.2</f>
        <v>205.83498</v>
      </c>
      <c r="E33" s="436"/>
      <c r="F33" s="500"/>
      <c r="G33" s="424">
        <v>0</v>
      </c>
      <c r="H33" s="431">
        <v>6.91</v>
      </c>
      <c r="I33" s="74"/>
      <c r="J33" s="7"/>
      <c r="K33" s="6"/>
      <c r="L33" s="7"/>
      <c r="M33" s="6"/>
      <c r="N33" s="7"/>
    </row>
    <row r="34" spans="1:14" ht="12.75" customHeight="1" thickBot="1">
      <c r="A34" s="440"/>
      <c r="B34" s="111" t="s">
        <v>112</v>
      </c>
      <c r="C34" s="119">
        <v>5820</v>
      </c>
      <c r="D34" s="118">
        <f>1.007*1.075*1.2</f>
        <v>1.2990299999999997</v>
      </c>
      <c r="E34" s="436"/>
      <c r="F34" s="500"/>
      <c r="G34" s="424"/>
      <c r="H34" s="431"/>
      <c r="I34" s="74"/>
      <c r="J34" s="7"/>
      <c r="K34" s="6"/>
      <c r="L34" s="7"/>
      <c r="M34" s="6"/>
      <c r="N34" s="7"/>
    </row>
    <row r="35" spans="1:14" ht="15" customHeight="1" thickTop="1">
      <c r="A35" s="439" t="s">
        <v>69</v>
      </c>
      <c r="B35" s="109" t="s">
        <v>94</v>
      </c>
      <c r="C35" s="120">
        <v>13680</v>
      </c>
      <c r="D35" s="172">
        <f>(6.29+2.241+0.437+0.015)*1.075*1.2</f>
        <v>11.58807</v>
      </c>
      <c r="E35" s="435">
        <f>161+106</f>
        <v>267</v>
      </c>
      <c r="F35" s="360">
        <v>52.47</v>
      </c>
      <c r="G35" s="529">
        <v>764.5</v>
      </c>
      <c r="H35" s="344">
        <v>56.19</v>
      </c>
      <c r="I35" s="66"/>
      <c r="J35" s="10"/>
      <c r="K35" s="9"/>
      <c r="L35" s="10"/>
      <c r="M35" s="9"/>
      <c r="N35" s="10"/>
    </row>
    <row r="36" spans="1:14" ht="15" customHeight="1">
      <c r="A36" s="440"/>
      <c r="B36" s="110" t="s">
        <v>95</v>
      </c>
      <c r="C36" s="68">
        <v>5760</v>
      </c>
      <c r="D36" s="173">
        <f>(4.04+0.747+0.437+0.015)*1.075*1.2</f>
        <v>6.75831</v>
      </c>
      <c r="E36" s="436"/>
      <c r="F36" s="500"/>
      <c r="G36" s="424"/>
      <c r="H36" s="431"/>
      <c r="I36" s="74"/>
      <c r="J36" s="7"/>
      <c r="K36" s="6"/>
      <c r="L36" s="7"/>
      <c r="M36" s="6"/>
      <c r="N36" s="7"/>
    </row>
    <row r="37" spans="1:14" ht="15" customHeight="1">
      <c r="A37" s="440"/>
      <c r="B37" s="110" t="s">
        <v>113</v>
      </c>
      <c r="C37" s="68">
        <v>232</v>
      </c>
      <c r="D37" s="173">
        <f>159.562*1.075*1.2</f>
        <v>205.83498</v>
      </c>
      <c r="E37" s="436"/>
      <c r="F37" s="500"/>
      <c r="G37" s="424">
        <v>0</v>
      </c>
      <c r="H37" s="431">
        <v>6.91</v>
      </c>
      <c r="I37" s="74"/>
      <c r="J37" s="7"/>
      <c r="K37" s="6"/>
      <c r="L37" s="7"/>
      <c r="M37" s="6"/>
      <c r="N37" s="7"/>
    </row>
    <row r="38" spans="1:14" ht="15" customHeight="1" thickBot="1">
      <c r="A38" s="438"/>
      <c r="B38" s="111" t="s">
        <v>112</v>
      </c>
      <c r="C38" s="119">
        <v>6390</v>
      </c>
      <c r="D38" s="118">
        <f>1.007*1.075*1.2</f>
        <v>1.2990299999999997</v>
      </c>
      <c r="E38" s="446"/>
      <c r="F38" s="361"/>
      <c r="G38" s="424"/>
      <c r="H38" s="431"/>
      <c r="I38" s="194"/>
      <c r="J38" s="13"/>
      <c r="K38" s="12"/>
      <c r="L38" s="13"/>
      <c r="M38" s="12"/>
      <c r="N38" s="13"/>
    </row>
    <row r="39" spans="1:14" ht="15" customHeight="1" thickTop="1">
      <c r="A39" s="439" t="s">
        <v>22</v>
      </c>
      <c r="B39" s="109" t="s">
        <v>94</v>
      </c>
      <c r="C39" s="120">
        <v>12120</v>
      </c>
      <c r="D39" s="172">
        <f>(6.29+2.241+0.437+0.015)*1.075*1.2</f>
        <v>11.58807</v>
      </c>
      <c r="E39" s="435">
        <f>174+124</f>
        <v>298</v>
      </c>
      <c r="F39" s="360">
        <v>52.47</v>
      </c>
      <c r="G39" s="529">
        <v>764.5</v>
      </c>
      <c r="H39" s="344">
        <v>56.19</v>
      </c>
      <c r="I39" s="194"/>
      <c r="J39" s="13"/>
      <c r="K39" s="12"/>
      <c r="L39" s="13"/>
      <c r="M39" s="12"/>
      <c r="N39" s="13"/>
    </row>
    <row r="40" spans="1:14" ht="15" customHeight="1">
      <c r="A40" s="440"/>
      <c r="B40" s="110" t="s">
        <v>95</v>
      </c>
      <c r="C40" s="68">
        <v>7560</v>
      </c>
      <c r="D40" s="173">
        <f>(4.04+0.747+0.437+0.015)*1.075*1.2</f>
        <v>6.75831</v>
      </c>
      <c r="E40" s="436"/>
      <c r="F40" s="500"/>
      <c r="G40" s="424"/>
      <c r="H40" s="431"/>
      <c r="I40" s="194"/>
      <c r="J40" s="13"/>
      <c r="K40" s="12"/>
      <c r="L40" s="13"/>
      <c r="M40" s="12"/>
      <c r="N40" s="13"/>
    </row>
    <row r="41" spans="1:14" ht="15" customHeight="1">
      <c r="A41" s="440"/>
      <c r="B41" s="110" t="s">
        <v>113</v>
      </c>
      <c r="C41" s="68">
        <v>232</v>
      </c>
      <c r="D41" s="173">
        <f>159.562*1.075*1.2</f>
        <v>205.83498</v>
      </c>
      <c r="E41" s="436"/>
      <c r="F41" s="500"/>
      <c r="G41" s="424">
        <v>0</v>
      </c>
      <c r="H41" s="431">
        <v>6.91</v>
      </c>
      <c r="I41" s="194"/>
      <c r="J41" s="13"/>
      <c r="K41" s="12"/>
      <c r="L41" s="13"/>
      <c r="M41" s="12"/>
      <c r="N41" s="13"/>
    </row>
    <row r="42" spans="1:14" ht="15" customHeight="1" thickBot="1">
      <c r="A42" s="438"/>
      <c r="B42" s="111" t="s">
        <v>112</v>
      </c>
      <c r="C42" s="119">
        <f>6469+851</f>
        <v>7320</v>
      </c>
      <c r="D42" s="118">
        <f>1.007*1.075*1.2</f>
        <v>1.2990299999999997</v>
      </c>
      <c r="E42" s="446"/>
      <c r="F42" s="361"/>
      <c r="G42" s="424"/>
      <c r="H42" s="431"/>
      <c r="I42" s="194"/>
      <c r="J42" s="13"/>
      <c r="K42" s="12"/>
      <c r="L42" s="13"/>
      <c r="M42" s="12"/>
      <c r="N42" s="13"/>
    </row>
    <row r="43" spans="1:14" ht="15" customHeight="1" thickTop="1">
      <c r="A43" s="439" t="s">
        <v>23</v>
      </c>
      <c r="B43" s="109" t="s">
        <v>94</v>
      </c>
      <c r="C43" s="120">
        <v>15660</v>
      </c>
      <c r="D43" s="172">
        <f>(9.7+2.241+0.437+0.015)*1.075*1.2</f>
        <v>15.986969999999998</v>
      </c>
      <c r="E43" s="435">
        <f>165+143</f>
        <v>308</v>
      </c>
      <c r="F43" s="360">
        <v>58.17</v>
      </c>
      <c r="G43" s="529">
        <v>764.5</v>
      </c>
      <c r="H43" s="344">
        <v>56.19</v>
      </c>
      <c r="I43" s="194"/>
      <c r="J43" s="13"/>
      <c r="K43" s="12"/>
      <c r="L43" s="13"/>
      <c r="M43" s="12"/>
      <c r="N43" s="13"/>
    </row>
    <row r="44" spans="1:14" ht="15" customHeight="1">
      <c r="A44" s="440"/>
      <c r="B44" s="110" t="s">
        <v>95</v>
      </c>
      <c r="C44" s="68">
        <v>7500</v>
      </c>
      <c r="D44" s="173">
        <f>(6.15+0.747+0.437+0.015)*1.075*1.2</f>
        <v>9.48021</v>
      </c>
      <c r="E44" s="436"/>
      <c r="F44" s="500"/>
      <c r="G44" s="424"/>
      <c r="H44" s="431"/>
      <c r="I44" s="194"/>
      <c r="J44" s="13"/>
      <c r="K44" s="12"/>
      <c r="L44" s="13"/>
      <c r="M44" s="12"/>
      <c r="N44" s="13"/>
    </row>
    <row r="45" spans="1:14" ht="15" customHeight="1">
      <c r="A45" s="440"/>
      <c r="B45" s="110" t="s">
        <v>113</v>
      </c>
      <c r="C45" s="68">
        <v>232</v>
      </c>
      <c r="D45" s="173">
        <f>159.562*1.075*1.2</f>
        <v>205.83498</v>
      </c>
      <c r="E45" s="436"/>
      <c r="F45" s="500"/>
      <c r="G45" s="424">
        <v>0</v>
      </c>
      <c r="H45" s="431">
        <v>6.91</v>
      </c>
      <c r="I45" s="194"/>
      <c r="J45" s="13"/>
      <c r="K45" s="12"/>
      <c r="L45" s="13"/>
      <c r="M45" s="12"/>
      <c r="N45" s="13"/>
    </row>
    <row r="46" spans="1:14" ht="13.5" thickBot="1">
      <c r="A46" s="438"/>
      <c r="B46" s="111" t="s">
        <v>112</v>
      </c>
      <c r="C46" s="119">
        <v>5580</v>
      </c>
      <c r="D46" s="118">
        <f>1.007*1.075*1.2</f>
        <v>1.2990299999999997</v>
      </c>
      <c r="E46" s="446"/>
      <c r="F46" s="361"/>
      <c r="G46" s="424"/>
      <c r="H46" s="431"/>
      <c r="I46" s="95"/>
      <c r="J46" s="5"/>
      <c r="K46" s="4"/>
      <c r="L46" s="5"/>
      <c r="M46" s="4"/>
      <c r="N46" s="5"/>
    </row>
    <row r="47" spans="1:14" ht="15" customHeight="1" thickTop="1">
      <c r="A47" s="530" t="s">
        <v>24</v>
      </c>
      <c r="B47" s="109" t="s">
        <v>94</v>
      </c>
      <c r="C47" s="234">
        <v>17280</v>
      </c>
      <c r="D47" s="172">
        <f>(9.7+2.473+0.437+0.015)*1.075*1.2</f>
        <v>16.286249999999995</v>
      </c>
      <c r="E47" s="370">
        <f>178+127</f>
        <v>305</v>
      </c>
      <c r="F47" s="360">
        <v>58.17</v>
      </c>
      <c r="G47" s="529">
        <v>764.5</v>
      </c>
      <c r="H47" s="344">
        <v>56.19</v>
      </c>
      <c r="I47" s="95"/>
      <c r="J47" s="5"/>
      <c r="K47" s="4"/>
      <c r="L47" s="5"/>
      <c r="M47" s="4"/>
      <c r="N47" s="5"/>
    </row>
    <row r="48" spans="1:14" ht="15" customHeight="1">
      <c r="A48" s="530"/>
      <c r="B48" s="110" t="s">
        <v>95</v>
      </c>
      <c r="C48" s="228">
        <v>7140</v>
      </c>
      <c r="D48" s="173">
        <f>(6.15+0.824+0.437+0.015)*1.075*1.2</f>
        <v>9.57954</v>
      </c>
      <c r="E48" s="453"/>
      <c r="F48" s="500"/>
      <c r="G48" s="424"/>
      <c r="H48" s="431"/>
      <c r="I48" s="95"/>
      <c r="J48" s="5"/>
      <c r="K48" s="4"/>
      <c r="L48" s="5"/>
      <c r="M48" s="4"/>
      <c r="N48" s="5"/>
    </row>
    <row r="49" spans="1:14" ht="15" customHeight="1">
      <c r="A49" s="530"/>
      <c r="B49" s="110" t="s">
        <v>113</v>
      </c>
      <c r="C49" s="228">
        <v>232</v>
      </c>
      <c r="D49" s="173">
        <f>173.626*1.075*1.2</f>
        <v>223.97754</v>
      </c>
      <c r="E49" s="453"/>
      <c r="F49" s="500"/>
      <c r="G49" s="424">
        <v>5540</v>
      </c>
      <c r="H49" s="431">
        <v>6.91</v>
      </c>
      <c r="I49" s="95"/>
      <c r="J49" s="5"/>
      <c r="K49" s="4"/>
      <c r="L49" s="5"/>
      <c r="M49" s="4"/>
      <c r="N49" s="5"/>
    </row>
    <row r="50" spans="1:14" ht="13.5" thickBot="1">
      <c r="A50" s="369"/>
      <c r="B50" s="111" t="s">
        <v>112</v>
      </c>
      <c r="C50" s="229">
        <v>5220</v>
      </c>
      <c r="D50" s="118">
        <f>1.13*1.075*1.2</f>
        <v>1.4576999999999998</v>
      </c>
      <c r="E50" s="371"/>
      <c r="F50" s="361"/>
      <c r="G50" s="424"/>
      <c r="H50" s="431"/>
      <c r="I50" s="95"/>
      <c r="J50" s="5"/>
      <c r="K50" s="4"/>
      <c r="L50" s="5"/>
      <c r="M50" s="4"/>
      <c r="N50" s="5"/>
    </row>
    <row r="51" spans="1:14" ht="13.5" thickTop="1">
      <c r="A51" s="368" t="s">
        <v>25</v>
      </c>
      <c r="B51" s="109" t="s">
        <v>94</v>
      </c>
      <c r="C51" s="227">
        <v>17400</v>
      </c>
      <c r="D51" s="172">
        <f>(9.7+2.473+0.437+0.015)*1.075*1.2</f>
        <v>16.286249999999995</v>
      </c>
      <c r="E51" s="370">
        <f>181+149</f>
        <v>330</v>
      </c>
      <c r="F51" s="360">
        <v>58.17</v>
      </c>
      <c r="G51" s="529">
        <v>764.5</v>
      </c>
      <c r="H51" s="344">
        <v>56.19</v>
      </c>
      <c r="I51" s="95"/>
      <c r="J51" s="5"/>
      <c r="K51" s="4"/>
      <c r="L51" s="5"/>
      <c r="M51" s="4"/>
      <c r="N51" s="5"/>
    </row>
    <row r="52" spans="1:14" ht="15" customHeight="1">
      <c r="A52" s="530"/>
      <c r="B52" s="110" t="s">
        <v>95</v>
      </c>
      <c r="C52" s="228">
        <v>6240</v>
      </c>
      <c r="D52" s="173">
        <f>(6.15+0.824+0.437+0.015)*1.075*1.2</f>
        <v>9.57954</v>
      </c>
      <c r="E52" s="453"/>
      <c r="F52" s="500"/>
      <c r="G52" s="424"/>
      <c r="H52" s="431"/>
      <c r="I52" s="95"/>
      <c r="J52" s="5"/>
      <c r="K52" s="4"/>
      <c r="L52" s="5"/>
      <c r="M52" s="4"/>
      <c r="N52" s="5"/>
    </row>
    <row r="53" spans="1:14" ht="15" customHeight="1">
      <c r="A53" s="530"/>
      <c r="B53" s="110" t="s">
        <v>113</v>
      </c>
      <c r="C53" s="195">
        <v>232</v>
      </c>
      <c r="D53" s="173">
        <f>173.626*1.075*1.2</f>
        <v>223.97754</v>
      </c>
      <c r="E53" s="453"/>
      <c r="F53" s="500"/>
      <c r="G53" s="424">
        <v>10160</v>
      </c>
      <c r="H53" s="431">
        <v>6.91</v>
      </c>
      <c r="I53" s="95"/>
      <c r="J53" s="5"/>
      <c r="K53" s="4"/>
      <c r="L53" s="5"/>
      <c r="M53" s="4"/>
      <c r="N53" s="5"/>
    </row>
    <row r="54" spans="1:14" ht="13.5" thickBot="1">
      <c r="A54" s="369"/>
      <c r="B54" s="111" t="s">
        <v>112</v>
      </c>
      <c r="C54" s="233">
        <v>4560</v>
      </c>
      <c r="D54" s="118">
        <f>1.13*1.075*1.2</f>
        <v>1.4576999999999998</v>
      </c>
      <c r="E54" s="371"/>
      <c r="F54" s="361"/>
      <c r="G54" s="424"/>
      <c r="H54" s="431"/>
      <c r="I54" s="95"/>
      <c r="J54" s="5"/>
      <c r="K54" s="4"/>
      <c r="L54" s="5"/>
      <c r="M54" s="4"/>
      <c r="N54" s="5"/>
    </row>
    <row r="55" spans="1:14" ht="13.5" thickTop="1">
      <c r="A55" s="368" t="s">
        <v>26</v>
      </c>
      <c r="B55" s="109" t="s">
        <v>94</v>
      </c>
      <c r="C55" s="227">
        <v>19860</v>
      </c>
      <c r="D55" s="172">
        <f>(9.7+2.473+0.437+0.015)*1.075*1.2</f>
        <v>16.286249999999995</v>
      </c>
      <c r="E55" s="370">
        <f>149+133</f>
        <v>282</v>
      </c>
      <c r="F55" s="360">
        <v>58.17</v>
      </c>
      <c r="G55" s="529">
        <v>764.5</v>
      </c>
      <c r="H55" s="344">
        <v>56.19</v>
      </c>
      <c r="I55" s="66"/>
      <c r="J55" s="10"/>
      <c r="K55" s="9"/>
      <c r="L55" s="10"/>
      <c r="M55" s="9"/>
      <c r="N55" s="10"/>
    </row>
    <row r="56" spans="1:14" ht="15" customHeight="1">
      <c r="A56" s="530"/>
      <c r="B56" s="110" t="s">
        <v>95</v>
      </c>
      <c r="C56" s="228">
        <v>7080</v>
      </c>
      <c r="D56" s="173">
        <f>(6.15+0.824+0.437+0.015)*1.075*1.2</f>
        <v>9.57954</v>
      </c>
      <c r="E56" s="453"/>
      <c r="F56" s="500"/>
      <c r="G56" s="424"/>
      <c r="H56" s="431"/>
      <c r="I56" s="66"/>
      <c r="J56" s="10"/>
      <c r="K56" s="9"/>
      <c r="L56" s="10"/>
      <c r="M56" s="9"/>
      <c r="N56" s="10"/>
    </row>
    <row r="57" spans="1:14" ht="15" customHeight="1">
      <c r="A57" s="530"/>
      <c r="B57" s="110" t="s">
        <v>113</v>
      </c>
      <c r="C57" s="195">
        <v>232</v>
      </c>
      <c r="D57" s="173">
        <f>173.626*1.075*1.2</f>
        <v>223.97754</v>
      </c>
      <c r="E57" s="453"/>
      <c r="F57" s="500"/>
      <c r="G57" s="428">
        <v>14820</v>
      </c>
      <c r="H57" s="431">
        <v>6.91</v>
      </c>
      <c r="I57" s="66"/>
      <c r="J57" s="10"/>
      <c r="K57" s="9"/>
      <c r="L57" s="10"/>
      <c r="M57" s="9"/>
      <c r="N57" s="10"/>
    </row>
    <row r="58" spans="1:14" ht="13.5" thickBot="1">
      <c r="A58" s="333"/>
      <c r="B58" s="111" t="s">
        <v>112</v>
      </c>
      <c r="C58" s="233">
        <v>4560</v>
      </c>
      <c r="D58" s="118">
        <f>1.13*1.075*1.2</f>
        <v>1.4576999999999998</v>
      </c>
      <c r="E58" s="356"/>
      <c r="F58" s="334"/>
      <c r="G58" s="428"/>
      <c r="H58" s="431"/>
      <c r="I58" s="6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244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7" customFormat="1" ht="12.75">
      <c r="A60" s="347" t="s">
        <v>32</v>
      </c>
      <c r="B60" s="347"/>
      <c r="C60" s="347"/>
      <c r="D60" s="348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s="27" customFormat="1" ht="12.75">
      <c r="A61" s="23"/>
      <c r="B61" s="22" t="s">
        <v>33</v>
      </c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s="27" customFormat="1" ht="12.75">
      <c r="A62" s="23"/>
      <c r="B62" s="347" t="s">
        <v>35</v>
      </c>
      <c r="C62" s="347"/>
      <c r="D62" s="347"/>
      <c r="E62" s="348"/>
      <c r="F62" s="23"/>
      <c r="G62" s="23"/>
      <c r="H62" s="23"/>
      <c r="I62" s="23"/>
      <c r="J62" s="23"/>
      <c r="K62" s="23"/>
      <c r="L62" s="23"/>
      <c r="M62" s="23"/>
      <c r="N62" s="23"/>
    </row>
    <row r="63" spans="1:14" s="27" customFormat="1" ht="12.75">
      <c r="A63" s="23"/>
      <c r="B63" s="347" t="s">
        <v>34</v>
      </c>
      <c r="C63" s="347"/>
      <c r="D63" s="347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4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"/>
      <c r="L64" s="1"/>
      <c r="M64" s="1"/>
      <c r="N64" s="1"/>
    </row>
    <row r="65" spans="1:7" ht="14.25">
      <c r="A65" s="20"/>
      <c r="B65" s="20"/>
      <c r="C65" s="20"/>
      <c r="D65" s="20"/>
      <c r="E65" s="20"/>
      <c r="F65" s="20"/>
      <c r="G65" s="20"/>
    </row>
    <row r="66" spans="1:7" ht="14.25">
      <c r="A66" s="20"/>
      <c r="B66" s="20"/>
      <c r="C66" s="20"/>
      <c r="D66" s="20"/>
      <c r="E66" s="20"/>
      <c r="F66" s="20"/>
      <c r="G66" s="20"/>
    </row>
    <row r="67" spans="1:7" ht="14.25">
      <c r="A67" s="20"/>
      <c r="B67" s="20"/>
      <c r="C67" s="20"/>
      <c r="D67" s="20"/>
      <c r="E67" s="20"/>
      <c r="F67" s="20"/>
      <c r="G67" s="20"/>
    </row>
    <row r="68" spans="1:7" ht="14.25">
      <c r="A68" s="20"/>
      <c r="B68" s="20"/>
      <c r="C68" s="20"/>
      <c r="D68" s="20"/>
      <c r="E68" s="20"/>
      <c r="F68" s="20"/>
      <c r="G68" s="20"/>
    </row>
  </sheetData>
  <sheetProtection/>
  <mergeCells count="103">
    <mergeCell ref="H11:H12"/>
    <mergeCell ref="G13:G14"/>
    <mergeCell ref="H13:H14"/>
    <mergeCell ref="G17:G18"/>
    <mergeCell ref="H17:H18"/>
    <mergeCell ref="G15:G16"/>
    <mergeCell ref="H15:H16"/>
    <mergeCell ref="H33:H34"/>
    <mergeCell ref="H21:H22"/>
    <mergeCell ref="H23:H24"/>
    <mergeCell ref="H25:H26"/>
    <mergeCell ref="H27:H28"/>
    <mergeCell ref="H31:H32"/>
    <mergeCell ref="H29:H30"/>
    <mergeCell ref="F35:F38"/>
    <mergeCell ref="G31:G32"/>
    <mergeCell ref="G33:G34"/>
    <mergeCell ref="G35:G36"/>
    <mergeCell ref="G29:G30"/>
    <mergeCell ref="G25:G26"/>
    <mergeCell ref="G27:G28"/>
    <mergeCell ref="F31:F34"/>
    <mergeCell ref="E39:E42"/>
    <mergeCell ref="F39:F42"/>
    <mergeCell ref="G41:G42"/>
    <mergeCell ref="G39:G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E27:E30"/>
    <mergeCell ref="F27:F30"/>
    <mergeCell ref="E15:E18"/>
    <mergeCell ref="F15:F18"/>
    <mergeCell ref="F19:F22"/>
    <mergeCell ref="I9:J9"/>
    <mergeCell ref="E9:E10"/>
    <mergeCell ref="F9:F10"/>
    <mergeCell ref="G9:H9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A11:A14"/>
    <mergeCell ref="A15:A18"/>
    <mergeCell ref="A23:A26"/>
    <mergeCell ref="A31:A34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C33" sqref="C33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24" customFormat="1" ht="15">
      <c r="A1" s="19" t="s">
        <v>41</v>
      </c>
      <c r="B1" s="17" t="s">
        <v>52</v>
      </c>
      <c r="C1" s="17"/>
      <c r="D1" s="18"/>
      <c r="E1" s="18"/>
      <c r="F1" s="18">
        <v>51258</v>
      </c>
      <c r="G1" s="18"/>
      <c r="H1" s="18"/>
      <c r="I1" s="471" t="s">
        <v>29</v>
      </c>
      <c r="J1" s="471"/>
      <c r="K1" s="471"/>
      <c r="L1" s="18">
        <v>150</v>
      </c>
      <c r="M1" s="18"/>
      <c r="N1" s="18"/>
    </row>
    <row r="2" spans="1:14" s="24" customFormat="1" ht="15">
      <c r="A2" s="17" t="s">
        <v>1</v>
      </c>
      <c r="B2" s="17" t="s">
        <v>59</v>
      </c>
      <c r="C2" s="17"/>
      <c r="D2" s="18"/>
      <c r="E2" s="18"/>
      <c r="F2" s="18"/>
      <c r="G2" s="18"/>
      <c r="H2" s="18"/>
      <c r="I2" s="471" t="s">
        <v>2</v>
      </c>
      <c r="J2" s="471"/>
      <c r="K2" s="471"/>
      <c r="L2" s="18">
        <v>2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71" t="s">
        <v>3</v>
      </c>
      <c r="J3" s="471"/>
      <c r="K3" s="471"/>
      <c r="L3" s="18" t="s">
        <v>49</v>
      </c>
      <c r="M3" s="18"/>
      <c r="N3" s="18"/>
    </row>
    <row r="4" spans="1:14" s="24" customFormat="1" ht="15">
      <c r="A4" s="17" t="s">
        <v>4</v>
      </c>
      <c r="B4" s="17">
        <v>60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473" t="s">
        <v>27</v>
      </c>
      <c r="H9" s="474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5"/>
      <c r="B10" s="331"/>
      <c r="C10" s="453"/>
      <c r="D10" s="431"/>
      <c r="E10" s="445"/>
      <c r="F10" s="345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75" t="s">
        <v>16</v>
      </c>
      <c r="B11" s="96" t="s">
        <v>102</v>
      </c>
      <c r="C11" s="184">
        <v>0</v>
      </c>
      <c r="D11" s="185">
        <f>(5.66+2.789+0.437+0.015)*1.075*1.2</f>
        <v>11.482289999999999</v>
      </c>
      <c r="E11" s="534">
        <v>2</v>
      </c>
      <c r="F11" s="344">
        <v>52.47</v>
      </c>
      <c r="G11" s="262"/>
      <c r="H11" s="263"/>
      <c r="I11" s="6"/>
      <c r="J11" s="7"/>
      <c r="K11" s="6"/>
      <c r="L11" s="7"/>
      <c r="M11" s="6"/>
      <c r="N11" s="7"/>
    </row>
    <row r="12" spans="1:14" ht="15.75" thickBot="1">
      <c r="A12" s="107"/>
      <c r="B12" s="73" t="s">
        <v>113</v>
      </c>
      <c r="C12" s="187">
        <v>17.25</v>
      </c>
      <c r="D12" s="188">
        <f>49.291*1.075*1.2</f>
        <v>63.58538999999999</v>
      </c>
      <c r="E12" s="520"/>
      <c r="F12" s="363"/>
      <c r="G12" s="204"/>
      <c r="H12" s="205"/>
      <c r="I12" s="6"/>
      <c r="J12" s="7"/>
      <c r="K12" s="6"/>
      <c r="L12" s="7"/>
      <c r="M12" s="6"/>
      <c r="N12" s="7"/>
    </row>
    <row r="13" spans="1:14" ht="15">
      <c r="A13" s="71" t="s">
        <v>17</v>
      </c>
      <c r="B13" s="96" t="s">
        <v>102</v>
      </c>
      <c r="C13" s="90">
        <v>0</v>
      </c>
      <c r="D13" s="185">
        <f>(5.66+3.049+0.437+0.015)*1.075*1.2</f>
        <v>11.817689999999999</v>
      </c>
      <c r="E13" s="492">
        <v>5</v>
      </c>
      <c r="F13" s="464">
        <v>52.47</v>
      </c>
      <c r="G13" s="264"/>
      <c r="H13" s="265"/>
      <c r="I13" s="4"/>
      <c r="J13" s="5"/>
      <c r="K13" s="4"/>
      <c r="L13" s="5"/>
      <c r="M13" s="4"/>
      <c r="N13" s="5"/>
    </row>
    <row r="14" spans="1:14" ht="15.75" thickBot="1">
      <c r="A14" s="71"/>
      <c r="B14" s="73" t="s">
        <v>113</v>
      </c>
      <c r="C14" s="90">
        <v>17.25</v>
      </c>
      <c r="D14" s="188">
        <f>49.863*1.075*1.2</f>
        <v>64.32327</v>
      </c>
      <c r="E14" s="520"/>
      <c r="F14" s="475"/>
      <c r="G14" s="264"/>
      <c r="H14" s="265"/>
      <c r="I14" s="4"/>
      <c r="J14" s="5"/>
      <c r="K14" s="4"/>
      <c r="L14" s="5"/>
      <c r="M14" s="4"/>
      <c r="N14" s="5"/>
    </row>
    <row r="15" spans="1:14" ht="15">
      <c r="A15" s="94" t="s">
        <v>18</v>
      </c>
      <c r="B15" s="96" t="s">
        <v>102</v>
      </c>
      <c r="C15" s="93">
        <v>1048</v>
      </c>
      <c r="D15" s="185">
        <f>(5.66+3.049+0.437+0.015)*1.075*1.2</f>
        <v>11.817689999999999</v>
      </c>
      <c r="E15" s="492">
        <v>51</v>
      </c>
      <c r="F15" s="362">
        <v>52.47</v>
      </c>
      <c r="G15" s="212"/>
      <c r="H15" s="213"/>
      <c r="I15" s="4"/>
      <c r="J15" s="5"/>
      <c r="K15" s="4"/>
      <c r="L15" s="5"/>
      <c r="M15" s="4"/>
      <c r="N15" s="5"/>
    </row>
    <row r="16" spans="1:14" ht="15.75" thickBot="1">
      <c r="A16" s="94"/>
      <c r="B16" s="73" t="s">
        <v>113</v>
      </c>
      <c r="C16" s="93">
        <v>17.25</v>
      </c>
      <c r="D16" s="188">
        <f>49.863*1.075*1.2</f>
        <v>64.32327</v>
      </c>
      <c r="E16" s="520"/>
      <c r="F16" s="363"/>
      <c r="G16" s="212"/>
      <c r="H16" s="213"/>
      <c r="I16" s="4"/>
      <c r="J16" s="5"/>
      <c r="K16" s="4"/>
      <c r="L16" s="5"/>
      <c r="M16" s="4"/>
      <c r="N16" s="5"/>
    </row>
    <row r="17" spans="1:14" ht="15">
      <c r="A17" s="94" t="s">
        <v>19</v>
      </c>
      <c r="B17" s="96" t="s">
        <v>102</v>
      </c>
      <c r="C17" s="93">
        <v>0</v>
      </c>
      <c r="D17" s="185">
        <f>(5.66+3.049+0.437+0.015)*1.075*1.2</f>
        <v>11.817689999999999</v>
      </c>
      <c r="E17" s="492">
        <v>78</v>
      </c>
      <c r="F17" s="362">
        <v>52.47</v>
      </c>
      <c r="G17" s="212"/>
      <c r="H17" s="213"/>
      <c r="I17" s="4"/>
      <c r="J17" s="5"/>
      <c r="K17" s="4"/>
      <c r="L17" s="5"/>
      <c r="M17" s="4"/>
      <c r="N17" s="5"/>
    </row>
    <row r="18" spans="1:14" ht="15.75" thickBot="1">
      <c r="A18" s="94"/>
      <c r="B18" s="73" t="s">
        <v>113</v>
      </c>
      <c r="C18" s="93">
        <v>17.25</v>
      </c>
      <c r="D18" s="188">
        <f>49.863*1.075*1.2</f>
        <v>64.32327</v>
      </c>
      <c r="E18" s="520"/>
      <c r="F18" s="363"/>
      <c r="G18" s="212"/>
      <c r="H18" s="213"/>
      <c r="I18" s="4"/>
      <c r="J18" s="5"/>
      <c r="K18" s="4"/>
      <c r="L18" s="5"/>
      <c r="M18" s="4"/>
      <c r="N18" s="5"/>
    </row>
    <row r="19" spans="1:14" ht="15">
      <c r="A19" s="94" t="s">
        <v>20</v>
      </c>
      <c r="B19" s="96" t="s">
        <v>102</v>
      </c>
      <c r="C19" s="93">
        <v>0</v>
      </c>
      <c r="D19" s="185">
        <f>(5.66+3.049+0.437+0.015)*1.075*1.2</f>
        <v>11.817689999999999</v>
      </c>
      <c r="E19" s="492">
        <v>63</v>
      </c>
      <c r="F19" s="362">
        <v>52.47</v>
      </c>
      <c r="G19" s="212"/>
      <c r="H19" s="213"/>
      <c r="I19" s="4"/>
      <c r="J19" s="5"/>
      <c r="K19" s="4"/>
      <c r="L19" s="5"/>
      <c r="M19" s="4"/>
      <c r="N19" s="5"/>
    </row>
    <row r="20" spans="1:14" ht="15.75" thickBot="1">
      <c r="A20" s="94"/>
      <c r="B20" s="73" t="s">
        <v>113</v>
      </c>
      <c r="C20" s="93">
        <v>34.5</v>
      </c>
      <c r="D20" s="188">
        <f>49.863*1.075*1.2</f>
        <v>64.32327</v>
      </c>
      <c r="E20" s="520"/>
      <c r="F20" s="363"/>
      <c r="G20" s="212"/>
      <c r="H20" s="213"/>
      <c r="I20" s="4"/>
      <c r="J20" s="5"/>
      <c r="K20" s="4"/>
      <c r="L20" s="5"/>
      <c r="M20" s="4"/>
      <c r="N20" s="5"/>
    </row>
    <row r="21" spans="1:14" ht="15">
      <c r="A21" s="94" t="s">
        <v>21</v>
      </c>
      <c r="B21" s="96" t="s">
        <v>102</v>
      </c>
      <c r="C21" s="93">
        <v>0</v>
      </c>
      <c r="D21" s="185">
        <f>(5.66+3.049+0.437+0.015)*1.075*1.2</f>
        <v>11.817689999999999</v>
      </c>
      <c r="E21" s="492">
        <v>66</v>
      </c>
      <c r="F21" s="362">
        <v>52.47</v>
      </c>
      <c r="G21" s="212"/>
      <c r="H21" s="213"/>
      <c r="I21" s="4"/>
      <c r="J21" s="5"/>
      <c r="K21" s="4"/>
      <c r="L21" s="5"/>
      <c r="M21" s="4"/>
      <c r="N21" s="5"/>
    </row>
    <row r="22" spans="1:14" ht="15.75" thickBot="1">
      <c r="A22" s="94"/>
      <c r="B22" s="73" t="s">
        <v>113</v>
      </c>
      <c r="C22" s="93">
        <v>34.5</v>
      </c>
      <c r="D22" s="188">
        <f>49.863*1.075*1.2</f>
        <v>64.32327</v>
      </c>
      <c r="E22" s="520"/>
      <c r="F22" s="363"/>
      <c r="G22" s="212"/>
      <c r="H22" s="213"/>
      <c r="I22" s="4"/>
      <c r="J22" s="5"/>
      <c r="K22" s="4"/>
      <c r="L22" s="5"/>
      <c r="M22" s="4"/>
      <c r="N22" s="5"/>
    </row>
    <row r="23" spans="1:14" ht="15">
      <c r="A23" s="94" t="s">
        <v>69</v>
      </c>
      <c r="B23" s="96" t="s">
        <v>102</v>
      </c>
      <c r="C23" s="93">
        <v>314</v>
      </c>
      <c r="D23" s="185">
        <f>(5.66+3.049+0.437+0.015)*1.075*1.2</f>
        <v>11.817689999999999</v>
      </c>
      <c r="E23" s="492">
        <v>8</v>
      </c>
      <c r="F23" s="362">
        <v>52.47</v>
      </c>
      <c r="G23" s="212"/>
      <c r="H23" s="213"/>
      <c r="I23" s="4"/>
      <c r="J23" s="5"/>
      <c r="K23" s="4"/>
      <c r="L23" s="5"/>
      <c r="M23" s="4"/>
      <c r="N23" s="5"/>
    </row>
    <row r="24" spans="1:14" ht="15.75" thickBot="1">
      <c r="A24" s="94"/>
      <c r="B24" s="73" t="s">
        <v>113</v>
      </c>
      <c r="C24" s="93">
        <v>34.5</v>
      </c>
      <c r="D24" s="188">
        <f>49.863*1.075*1.2</f>
        <v>64.32327</v>
      </c>
      <c r="E24" s="520"/>
      <c r="F24" s="363"/>
      <c r="G24" s="212"/>
      <c r="H24" s="213"/>
      <c r="I24" s="4"/>
      <c r="J24" s="5"/>
      <c r="K24" s="4"/>
      <c r="L24" s="5"/>
      <c r="M24" s="4"/>
      <c r="N24" s="5"/>
    </row>
    <row r="25" spans="1:14" ht="15">
      <c r="A25" s="94" t="s">
        <v>22</v>
      </c>
      <c r="B25" s="96" t="s">
        <v>102</v>
      </c>
      <c r="C25" s="93">
        <v>97</v>
      </c>
      <c r="D25" s="185">
        <f>(5.66+3.049+0.437+0.015)*1.075*1.2</f>
        <v>11.817689999999999</v>
      </c>
      <c r="E25" s="492">
        <v>42</v>
      </c>
      <c r="F25" s="362">
        <v>52.47</v>
      </c>
      <c r="G25" s="212"/>
      <c r="H25" s="213"/>
      <c r="I25" s="4"/>
      <c r="J25" s="5"/>
      <c r="K25" s="4"/>
      <c r="L25" s="5"/>
      <c r="M25" s="4"/>
      <c r="N25" s="5"/>
    </row>
    <row r="26" spans="1:14" ht="15.75" thickBot="1">
      <c r="A26" s="94"/>
      <c r="B26" s="73" t="s">
        <v>113</v>
      </c>
      <c r="C26" s="93">
        <v>34.5</v>
      </c>
      <c r="D26" s="188">
        <f>49.863*1.075*1.2</f>
        <v>64.32327</v>
      </c>
      <c r="E26" s="520"/>
      <c r="F26" s="363"/>
      <c r="G26" s="212"/>
      <c r="H26" s="213"/>
      <c r="I26" s="4"/>
      <c r="J26" s="5"/>
      <c r="K26" s="4"/>
      <c r="L26" s="5"/>
      <c r="M26" s="4"/>
      <c r="N26" s="5"/>
    </row>
    <row r="27" spans="1:14" ht="15">
      <c r="A27" s="94" t="s">
        <v>23</v>
      </c>
      <c r="B27" s="96" t="s">
        <v>102</v>
      </c>
      <c r="C27" s="93">
        <v>0</v>
      </c>
      <c r="D27" s="185">
        <f>(8.73+3.049+0.437+0.015)*1.075*1.2</f>
        <v>15.777989999999999</v>
      </c>
      <c r="E27" s="492">
        <v>46</v>
      </c>
      <c r="F27" s="362">
        <v>58.17</v>
      </c>
      <c r="G27" s="212"/>
      <c r="H27" s="213"/>
      <c r="I27" s="4"/>
      <c r="J27" s="5"/>
      <c r="K27" s="4"/>
      <c r="L27" s="5"/>
      <c r="M27" s="4"/>
      <c r="N27" s="5"/>
    </row>
    <row r="28" spans="1:14" ht="15.75" thickBot="1">
      <c r="A28" s="94"/>
      <c r="B28" s="73" t="s">
        <v>113</v>
      </c>
      <c r="C28" s="93">
        <v>34.5</v>
      </c>
      <c r="D28" s="188">
        <f>49.863*1.075*1.2</f>
        <v>64.32327</v>
      </c>
      <c r="E28" s="520"/>
      <c r="F28" s="363"/>
      <c r="G28" s="212"/>
      <c r="H28" s="213"/>
      <c r="I28" s="4"/>
      <c r="J28" s="5"/>
      <c r="K28" s="4"/>
      <c r="L28" s="5"/>
      <c r="M28" s="4"/>
      <c r="N28" s="5"/>
    </row>
    <row r="29" spans="1:14" ht="15">
      <c r="A29" s="94" t="s">
        <v>24</v>
      </c>
      <c r="B29" s="96" t="s">
        <v>102</v>
      </c>
      <c r="C29" s="93">
        <v>0</v>
      </c>
      <c r="D29" s="185">
        <f>(8.73+3.394+0.437+0.015)*1.075*1.2</f>
        <v>16.223039999999997</v>
      </c>
      <c r="E29" s="492">
        <v>40</v>
      </c>
      <c r="F29" s="362">
        <v>58.17</v>
      </c>
      <c r="G29" s="212"/>
      <c r="H29" s="213"/>
      <c r="I29" s="4"/>
      <c r="J29" s="5"/>
      <c r="K29" s="4"/>
      <c r="L29" s="5"/>
      <c r="M29" s="4"/>
      <c r="N29" s="5"/>
    </row>
    <row r="30" spans="1:14" ht="15.75" thickBot="1">
      <c r="A30" s="94"/>
      <c r="B30" s="73" t="s">
        <v>113</v>
      </c>
      <c r="C30" s="93">
        <v>34.5</v>
      </c>
      <c r="D30" s="188">
        <f>54.258*1.075*1.2</f>
        <v>69.99282</v>
      </c>
      <c r="E30" s="520"/>
      <c r="F30" s="363"/>
      <c r="G30" s="212"/>
      <c r="H30" s="213"/>
      <c r="I30" s="4"/>
      <c r="J30" s="5"/>
      <c r="K30" s="4"/>
      <c r="L30" s="5"/>
      <c r="M30" s="4"/>
      <c r="N30" s="5"/>
    </row>
    <row r="31" spans="1:14" ht="15">
      <c r="A31" s="94" t="s">
        <v>25</v>
      </c>
      <c r="B31" s="96" t="s">
        <v>102</v>
      </c>
      <c r="C31" s="93">
        <v>0</v>
      </c>
      <c r="D31" s="185">
        <f>(8.73+3.394+0.437+0.015)*1.075*1.2</f>
        <v>16.223039999999997</v>
      </c>
      <c r="E31" s="492">
        <v>69</v>
      </c>
      <c r="F31" s="362">
        <v>58.17</v>
      </c>
      <c r="G31" s="212"/>
      <c r="H31" s="213"/>
      <c r="I31" s="4"/>
      <c r="J31" s="5"/>
      <c r="K31" s="4"/>
      <c r="L31" s="5"/>
      <c r="M31" s="4"/>
      <c r="N31" s="5"/>
    </row>
    <row r="32" spans="1:14" ht="15.75" thickBot="1">
      <c r="A32" s="71"/>
      <c r="B32" s="73" t="s">
        <v>113</v>
      </c>
      <c r="C32" s="93">
        <v>34.5</v>
      </c>
      <c r="D32" s="188">
        <f>54.258*1.075*1.2</f>
        <v>69.99282</v>
      </c>
      <c r="E32" s="520"/>
      <c r="F32" s="363"/>
      <c r="G32" s="210"/>
      <c r="H32" s="211"/>
      <c r="I32" s="9"/>
      <c r="J32" s="10"/>
      <c r="K32" s="9"/>
      <c r="L32" s="10"/>
      <c r="M32" s="9"/>
      <c r="N32" s="10"/>
    </row>
    <row r="33" spans="1:14" ht="15.75" thickBot="1">
      <c r="A33" s="71" t="s">
        <v>26</v>
      </c>
      <c r="B33" s="96" t="s">
        <v>102</v>
      </c>
      <c r="C33" s="93">
        <v>0</v>
      </c>
      <c r="D33" s="185">
        <f>(8.73+3.394+0.437+0.015)*1.075*1.2</f>
        <v>16.223039999999997</v>
      </c>
      <c r="E33" s="535">
        <v>83</v>
      </c>
      <c r="F33" s="537">
        <v>58.17</v>
      </c>
      <c r="G33" s="210"/>
      <c r="H33" s="211"/>
      <c r="I33" s="9"/>
      <c r="J33" s="10"/>
      <c r="K33" s="9"/>
      <c r="L33" s="10"/>
      <c r="M33" s="9"/>
      <c r="N33" s="10"/>
    </row>
    <row r="34" spans="1:14" ht="13.5" thickBot="1">
      <c r="A34" s="147"/>
      <c r="B34" s="148" t="s">
        <v>113</v>
      </c>
      <c r="C34" s="93">
        <v>34.5</v>
      </c>
      <c r="D34" s="188">
        <f>54.258*1.075*1.2</f>
        <v>69.99282</v>
      </c>
      <c r="E34" s="536"/>
      <c r="F34" s="538"/>
      <c r="G34" s="251"/>
      <c r="H34" s="252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347"/>
      <c r="B36" s="347"/>
      <c r="C36" s="347"/>
      <c r="D36" s="348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347"/>
      <c r="C38" s="347"/>
      <c r="D38" s="347"/>
      <c r="E38" s="348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347"/>
      <c r="C39" s="347"/>
      <c r="D39" s="347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0" customFormat="1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="20" customFormat="1" ht="14.25"/>
  </sheetData>
  <sheetProtection/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E21:E22"/>
    <mergeCell ref="E19:E20"/>
    <mergeCell ref="E17:E18"/>
    <mergeCell ref="F17:F18"/>
    <mergeCell ref="F19:F20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F38" sqref="F38:F40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24" customFormat="1" ht="15">
      <c r="A1" s="19" t="s">
        <v>41</v>
      </c>
      <c r="B1" s="17" t="s">
        <v>51</v>
      </c>
      <c r="C1" s="17"/>
      <c r="D1" s="18"/>
      <c r="E1" s="18">
        <v>50061</v>
      </c>
      <c r="F1" s="18"/>
      <c r="G1" s="18"/>
      <c r="H1" s="18"/>
      <c r="I1" s="471" t="s">
        <v>29</v>
      </c>
      <c r="J1" s="471"/>
      <c r="K1" s="471"/>
      <c r="L1" s="18">
        <v>150</v>
      </c>
      <c r="M1" s="18"/>
      <c r="N1" s="18"/>
    </row>
    <row r="2" spans="1:14" s="24" customFormat="1" ht="15">
      <c r="A2" s="17" t="s">
        <v>1</v>
      </c>
      <c r="B2" s="17" t="s">
        <v>60</v>
      </c>
      <c r="C2" s="17"/>
      <c r="D2" s="18"/>
      <c r="E2" s="18"/>
      <c r="F2" s="18"/>
      <c r="G2" s="18"/>
      <c r="H2" s="18"/>
      <c r="I2" s="471" t="s">
        <v>2</v>
      </c>
      <c r="J2" s="471"/>
      <c r="K2" s="471"/>
      <c r="L2" s="18">
        <v>2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71" t="s">
        <v>3</v>
      </c>
      <c r="J3" s="471"/>
      <c r="K3" s="471"/>
      <c r="L3" s="18" t="s">
        <v>49</v>
      </c>
      <c r="M3" s="18"/>
      <c r="N3" s="18"/>
    </row>
    <row r="4" spans="1:14" s="24" customFormat="1" ht="15">
      <c r="A4" s="17" t="s">
        <v>4</v>
      </c>
      <c r="B4" s="17">
        <v>57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473" t="s">
        <v>27</v>
      </c>
      <c r="H9" s="474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5"/>
      <c r="B10" s="442"/>
      <c r="C10" s="356"/>
      <c r="D10" s="345"/>
      <c r="E10" s="445"/>
      <c r="F10" s="345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70" t="s">
        <v>16</v>
      </c>
      <c r="B11" s="51" t="s">
        <v>94</v>
      </c>
      <c r="C11" s="171">
        <v>847</v>
      </c>
      <c r="D11" s="172">
        <f>(6.29+3.187+0.437+0.015)*1.075*1.2</f>
        <v>12.808409999999999</v>
      </c>
      <c r="E11" s="444">
        <v>3</v>
      </c>
      <c r="F11" s="344">
        <v>52.47</v>
      </c>
      <c r="G11" s="200"/>
      <c r="H11" s="201"/>
      <c r="I11" s="6"/>
      <c r="J11" s="7"/>
      <c r="K11" s="6"/>
      <c r="L11" s="7"/>
      <c r="M11" s="6"/>
      <c r="N11" s="7"/>
    </row>
    <row r="12" spans="1:14" ht="15" customHeight="1">
      <c r="A12" s="440"/>
      <c r="B12" s="55" t="s">
        <v>95</v>
      </c>
      <c r="C12" s="88">
        <v>268</v>
      </c>
      <c r="D12" s="173">
        <f>(4.04+0.797+0.437+0.015)*1.075*1.2</f>
        <v>6.82281</v>
      </c>
      <c r="E12" s="436"/>
      <c r="F12" s="431"/>
      <c r="G12" s="202"/>
      <c r="H12" s="203"/>
      <c r="I12" s="6"/>
      <c r="J12" s="7"/>
      <c r="K12" s="6"/>
      <c r="L12" s="7"/>
      <c r="M12" s="6"/>
      <c r="N12" s="7"/>
    </row>
    <row r="13" spans="1:14" ht="15" customHeight="1" thickBot="1">
      <c r="A13" s="440"/>
      <c r="B13" s="55" t="s">
        <v>113</v>
      </c>
      <c r="C13" s="144">
        <v>17.25</v>
      </c>
      <c r="D13" s="175">
        <f>49.291*1.075*1.2</f>
        <v>63.58538999999999</v>
      </c>
      <c r="E13" s="436"/>
      <c r="F13" s="431"/>
      <c r="G13" s="202"/>
      <c r="H13" s="203"/>
      <c r="I13" s="6"/>
      <c r="J13" s="7"/>
      <c r="K13" s="6"/>
      <c r="L13" s="7"/>
      <c r="M13" s="6"/>
      <c r="N13" s="7"/>
    </row>
    <row r="14" spans="1:14" ht="12.75" customHeight="1" thickTop="1">
      <c r="A14" s="439" t="s">
        <v>17</v>
      </c>
      <c r="B14" s="51" t="s">
        <v>94</v>
      </c>
      <c r="C14" s="90">
        <v>860</v>
      </c>
      <c r="D14" s="172">
        <f>(6.29+3.485+0.437+0.015)*1.075*1.2</f>
        <v>13.19283</v>
      </c>
      <c r="E14" s="435">
        <v>4</v>
      </c>
      <c r="F14" s="362">
        <v>52.47</v>
      </c>
      <c r="G14" s="206"/>
      <c r="H14" s="207"/>
      <c r="I14" s="9"/>
      <c r="J14" s="10"/>
      <c r="K14" s="9"/>
      <c r="L14" s="10"/>
      <c r="M14" s="9"/>
      <c r="N14" s="10"/>
    </row>
    <row r="15" spans="1:14" ht="14.25" customHeight="1">
      <c r="A15" s="440"/>
      <c r="B15" s="55" t="s">
        <v>95</v>
      </c>
      <c r="C15" s="91">
        <v>188</v>
      </c>
      <c r="D15" s="173">
        <f>(4.04+0.871+0.437+0.015)*1.075*1.2</f>
        <v>6.918269999999999</v>
      </c>
      <c r="E15" s="436"/>
      <c r="F15" s="431"/>
      <c r="G15" s="202"/>
      <c r="H15" s="203"/>
      <c r="I15" s="6"/>
      <c r="J15" s="7"/>
      <c r="K15" s="6"/>
      <c r="L15" s="7"/>
      <c r="M15" s="6"/>
      <c r="N15" s="7"/>
    </row>
    <row r="16" spans="1:14" ht="14.25" customHeight="1" thickBot="1">
      <c r="A16" s="440"/>
      <c r="B16" s="55" t="s">
        <v>113</v>
      </c>
      <c r="C16" s="91">
        <v>17.25</v>
      </c>
      <c r="D16" s="175">
        <f>49.863*1.075*1.2</f>
        <v>64.32327</v>
      </c>
      <c r="E16" s="436"/>
      <c r="F16" s="431"/>
      <c r="G16" s="202"/>
      <c r="H16" s="203"/>
      <c r="I16" s="6"/>
      <c r="J16" s="7"/>
      <c r="K16" s="6"/>
      <c r="L16" s="7"/>
      <c r="M16" s="6"/>
      <c r="N16" s="7"/>
    </row>
    <row r="17" spans="1:14" ht="12.75" customHeight="1" thickTop="1">
      <c r="A17" s="439" t="s">
        <v>18</v>
      </c>
      <c r="B17" s="51" t="s">
        <v>94</v>
      </c>
      <c r="C17" s="162">
        <v>895</v>
      </c>
      <c r="D17" s="172">
        <f>(6.29+3.485+0.437+0.015)*1.075*1.2</f>
        <v>13.19283</v>
      </c>
      <c r="E17" s="435">
        <v>1</v>
      </c>
      <c r="F17" s="362">
        <v>52.47</v>
      </c>
      <c r="G17" s="206"/>
      <c r="H17" s="207"/>
      <c r="I17" s="9"/>
      <c r="J17" s="10"/>
      <c r="K17" s="9"/>
      <c r="L17" s="10"/>
      <c r="M17" s="9"/>
      <c r="N17" s="10"/>
    </row>
    <row r="18" spans="1:14" ht="14.25" customHeight="1">
      <c r="A18" s="440"/>
      <c r="B18" s="55" t="s">
        <v>95</v>
      </c>
      <c r="C18" s="91">
        <v>227</v>
      </c>
      <c r="D18" s="173">
        <f>(4.04+0.871+0.437+0.015)*1.075*1.2</f>
        <v>6.918269999999999</v>
      </c>
      <c r="E18" s="436"/>
      <c r="F18" s="431"/>
      <c r="G18" s="202"/>
      <c r="H18" s="203"/>
      <c r="I18" s="6"/>
      <c r="J18" s="7"/>
      <c r="K18" s="6"/>
      <c r="L18" s="7"/>
      <c r="M18" s="6"/>
      <c r="N18" s="7"/>
    </row>
    <row r="19" spans="1:14" ht="14.25" customHeight="1" thickBot="1">
      <c r="A19" s="440"/>
      <c r="B19" s="55" t="s">
        <v>113</v>
      </c>
      <c r="C19" s="91">
        <v>17.25</v>
      </c>
      <c r="D19" s="175">
        <f>49.863*1.075*1.2</f>
        <v>64.32327</v>
      </c>
      <c r="E19" s="436"/>
      <c r="F19" s="431"/>
      <c r="G19" s="202"/>
      <c r="H19" s="203"/>
      <c r="I19" s="6"/>
      <c r="J19" s="7"/>
      <c r="K19" s="6"/>
      <c r="L19" s="7"/>
      <c r="M19" s="6"/>
      <c r="N19" s="7"/>
    </row>
    <row r="20" spans="1:14" ht="13.5" thickTop="1">
      <c r="A20" s="439" t="s">
        <v>19</v>
      </c>
      <c r="B20" s="51" t="s">
        <v>94</v>
      </c>
      <c r="C20" s="90">
        <v>714</v>
      </c>
      <c r="D20" s="172">
        <f>(6.29+3.485+0.437+0.015)*1.075*1.2</f>
        <v>13.19283</v>
      </c>
      <c r="E20" s="435">
        <v>2</v>
      </c>
      <c r="F20" s="362">
        <v>52.47</v>
      </c>
      <c r="G20" s="206"/>
      <c r="H20" s="207"/>
      <c r="I20" s="9"/>
      <c r="J20" s="10"/>
      <c r="K20" s="9"/>
      <c r="L20" s="10"/>
      <c r="M20" s="9"/>
      <c r="N20" s="10"/>
    </row>
    <row r="21" spans="1:14" ht="15" customHeight="1">
      <c r="A21" s="440"/>
      <c r="B21" s="55" t="s">
        <v>95</v>
      </c>
      <c r="C21" s="91">
        <v>207</v>
      </c>
      <c r="D21" s="173">
        <f>(4.04+0.871+0.437+0.015)*1.075*1.2</f>
        <v>6.918269999999999</v>
      </c>
      <c r="E21" s="436"/>
      <c r="F21" s="431"/>
      <c r="G21" s="202"/>
      <c r="H21" s="203"/>
      <c r="I21" s="6"/>
      <c r="J21" s="7"/>
      <c r="K21" s="6"/>
      <c r="L21" s="7"/>
      <c r="M21" s="6"/>
      <c r="N21" s="7"/>
    </row>
    <row r="22" spans="1:14" ht="15" customHeight="1" thickBot="1">
      <c r="A22" s="440"/>
      <c r="B22" s="55" t="s">
        <v>113</v>
      </c>
      <c r="C22" s="91">
        <v>17.25</v>
      </c>
      <c r="D22" s="175">
        <f>49.863*1.075*1.2</f>
        <v>64.32327</v>
      </c>
      <c r="E22" s="436"/>
      <c r="F22" s="431"/>
      <c r="G22" s="202"/>
      <c r="H22" s="203"/>
      <c r="I22" s="6"/>
      <c r="J22" s="7"/>
      <c r="K22" s="6"/>
      <c r="L22" s="7"/>
      <c r="M22" s="6"/>
      <c r="N22" s="7"/>
    </row>
    <row r="23" spans="1:14" ht="13.5" thickTop="1">
      <c r="A23" s="439" t="s">
        <v>20</v>
      </c>
      <c r="B23" s="51" t="s">
        <v>94</v>
      </c>
      <c r="C23" s="162">
        <v>158</v>
      </c>
      <c r="D23" s="172">
        <f>(6.29+3.485+0.437+0.015)*1.075*1.2</f>
        <v>13.19283</v>
      </c>
      <c r="E23" s="435">
        <v>2</v>
      </c>
      <c r="F23" s="362">
        <v>52.47</v>
      </c>
      <c r="G23" s="206"/>
      <c r="H23" s="207"/>
      <c r="I23" s="9"/>
      <c r="J23" s="10"/>
      <c r="K23" s="9"/>
      <c r="L23" s="10"/>
      <c r="M23" s="9"/>
      <c r="N23" s="10"/>
    </row>
    <row r="24" spans="1:14" ht="15" customHeight="1">
      <c r="A24" s="440"/>
      <c r="B24" s="55" t="s">
        <v>95</v>
      </c>
      <c r="C24" s="92">
        <v>78</v>
      </c>
      <c r="D24" s="173">
        <f>(4.04+0.871+0.437+0.015)*1.075*1.2</f>
        <v>6.918269999999999</v>
      </c>
      <c r="E24" s="436"/>
      <c r="F24" s="431"/>
      <c r="G24" s="202"/>
      <c r="H24" s="203"/>
      <c r="I24" s="6"/>
      <c r="J24" s="7"/>
      <c r="K24" s="6"/>
      <c r="L24" s="7"/>
      <c r="M24" s="6"/>
      <c r="N24" s="7"/>
    </row>
    <row r="25" spans="1:14" ht="15" customHeight="1" thickBot="1">
      <c r="A25" s="440"/>
      <c r="B25" s="55" t="s">
        <v>113</v>
      </c>
      <c r="C25" s="91">
        <v>17.25</v>
      </c>
      <c r="D25" s="175">
        <f>49.863*1.075*1.2</f>
        <v>64.32327</v>
      </c>
      <c r="E25" s="436"/>
      <c r="F25" s="431"/>
      <c r="G25" s="202"/>
      <c r="H25" s="203"/>
      <c r="I25" s="6"/>
      <c r="J25" s="7"/>
      <c r="K25" s="6"/>
      <c r="L25" s="7"/>
      <c r="M25" s="6"/>
      <c r="N25" s="7"/>
    </row>
    <row r="26" spans="1:14" ht="13.5" thickTop="1">
      <c r="A26" s="439" t="s">
        <v>68</v>
      </c>
      <c r="B26" s="51" t="s">
        <v>94</v>
      </c>
      <c r="C26" s="90">
        <v>60</v>
      </c>
      <c r="D26" s="172">
        <f>(6.29+3.485+0.437+0.015)*1.075*1.2</f>
        <v>13.19283</v>
      </c>
      <c r="E26" s="435">
        <v>2</v>
      </c>
      <c r="F26" s="362">
        <v>52.47</v>
      </c>
      <c r="G26" s="206"/>
      <c r="H26" s="207"/>
      <c r="I26" s="9"/>
      <c r="J26" s="10"/>
      <c r="K26" s="9"/>
      <c r="L26" s="10"/>
      <c r="M26" s="9"/>
      <c r="N26" s="10"/>
    </row>
    <row r="27" spans="1:14" ht="15" customHeight="1">
      <c r="A27" s="440"/>
      <c r="B27" s="55" t="s">
        <v>95</v>
      </c>
      <c r="C27" s="91">
        <v>30</v>
      </c>
      <c r="D27" s="173">
        <f>(4.04+0.871+0.437+0.015)*1.075*1.2</f>
        <v>6.918269999999999</v>
      </c>
      <c r="E27" s="436"/>
      <c r="F27" s="431"/>
      <c r="G27" s="202"/>
      <c r="H27" s="203"/>
      <c r="I27" s="6"/>
      <c r="J27" s="7"/>
      <c r="K27" s="6"/>
      <c r="L27" s="7"/>
      <c r="M27" s="6"/>
      <c r="N27" s="7"/>
    </row>
    <row r="28" spans="1:14" ht="15" customHeight="1" thickBot="1">
      <c r="A28" s="440"/>
      <c r="B28" s="55" t="s">
        <v>113</v>
      </c>
      <c r="C28" s="91">
        <v>17.25</v>
      </c>
      <c r="D28" s="175">
        <f>49.863*1.075*1.2</f>
        <v>64.32327</v>
      </c>
      <c r="E28" s="436"/>
      <c r="F28" s="431"/>
      <c r="G28" s="202"/>
      <c r="H28" s="203"/>
      <c r="I28" s="6"/>
      <c r="J28" s="7"/>
      <c r="K28" s="6"/>
      <c r="L28" s="7"/>
      <c r="M28" s="6"/>
      <c r="N28" s="7"/>
    </row>
    <row r="29" spans="1:14" ht="13.5" thickTop="1">
      <c r="A29" s="439" t="s">
        <v>69</v>
      </c>
      <c r="B29" s="51" t="s">
        <v>94</v>
      </c>
      <c r="C29" s="90">
        <v>20</v>
      </c>
      <c r="D29" s="172">
        <f>(6.29+3.485+0.437+0.015)*1.075*1.2</f>
        <v>13.19283</v>
      </c>
      <c r="E29" s="435">
        <v>1</v>
      </c>
      <c r="F29" s="362">
        <v>52.47</v>
      </c>
      <c r="G29" s="206"/>
      <c r="H29" s="207"/>
      <c r="I29" s="9"/>
      <c r="J29" s="10"/>
      <c r="K29" s="9"/>
      <c r="L29" s="10"/>
      <c r="M29" s="9"/>
      <c r="N29" s="10"/>
    </row>
    <row r="30" spans="1:14" ht="15" customHeight="1">
      <c r="A30" s="440"/>
      <c r="B30" s="55" t="s">
        <v>95</v>
      </c>
      <c r="C30" s="91">
        <v>28</v>
      </c>
      <c r="D30" s="173">
        <f>(4.04+0.871+0.437+0.015)*1.075*1.2</f>
        <v>6.918269999999999</v>
      </c>
      <c r="E30" s="436"/>
      <c r="F30" s="431"/>
      <c r="G30" s="202"/>
      <c r="H30" s="203"/>
      <c r="I30" s="6"/>
      <c r="J30" s="7"/>
      <c r="K30" s="6"/>
      <c r="L30" s="7"/>
      <c r="M30" s="6"/>
      <c r="N30" s="7"/>
    </row>
    <row r="31" spans="1:14" ht="15" customHeight="1" thickBot="1">
      <c r="A31" s="440"/>
      <c r="B31" s="55" t="s">
        <v>113</v>
      </c>
      <c r="C31" s="91">
        <v>17.25</v>
      </c>
      <c r="D31" s="175">
        <f>49.863*1.075*1.2</f>
        <v>64.32327</v>
      </c>
      <c r="E31" s="436"/>
      <c r="F31" s="431"/>
      <c r="G31" s="202"/>
      <c r="H31" s="203"/>
      <c r="I31" s="6"/>
      <c r="J31" s="7"/>
      <c r="K31" s="6"/>
      <c r="L31" s="7"/>
      <c r="M31" s="6"/>
      <c r="N31" s="7"/>
    </row>
    <row r="32" spans="1:14" ht="13.5" thickTop="1">
      <c r="A32" s="439" t="s">
        <v>22</v>
      </c>
      <c r="B32" s="51" t="s">
        <v>94</v>
      </c>
      <c r="C32" s="90">
        <v>26</v>
      </c>
      <c r="D32" s="172">
        <f>(6.29+3.485+0.437+0.015)*1.075*1.2</f>
        <v>13.19283</v>
      </c>
      <c r="E32" s="435">
        <v>0</v>
      </c>
      <c r="F32" s="362">
        <v>52.47</v>
      </c>
      <c r="G32" s="208"/>
      <c r="H32" s="209"/>
      <c r="I32" s="12"/>
      <c r="J32" s="13"/>
      <c r="K32" s="12"/>
      <c r="L32" s="13"/>
      <c r="M32" s="12"/>
      <c r="N32" s="13"/>
    </row>
    <row r="33" spans="1:14" ht="15" customHeight="1">
      <c r="A33" s="440"/>
      <c r="B33" s="55" t="s">
        <v>95</v>
      </c>
      <c r="C33" s="91">
        <v>29</v>
      </c>
      <c r="D33" s="173">
        <f>(4.04+0.871+0.437+0.015)*1.075*1.2</f>
        <v>6.918269999999999</v>
      </c>
      <c r="E33" s="436"/>
      <c r="F33" s="431"/>
      <c r="G33" s="208"/>
      <c r="H33" s="209"/>
      <c r="I33" s="12"/>
      <c r="J33" s="13"/>
      <c r="K33" s="12"/>
      <c r="L33" s="13"/>
      <c r="M33" s="12"/>
      <c r="N33" s="13"/>
    </row>
    <row r="34" spans="1:14" ht="15" customHeight="1" thickBot="1">
      <c r="A34" s="440"/>
      <c r="B34" s="55" t="s">
        <v>113</v>
      </c>
      <c r="C34" s="91">
        <v>17.25</v>
      </c>
      <c r="D34" s="175">
        <f>49.863*1.075*1.2</f>
        <v>64.32327</v>
      </c>
      <c r="E34" s="436"/>
      <c r="F34" s="431"/>
      <c r="G34" s="208"/>
      <c r="H34" s="209"/>
      <c r="I34" s="12"/>
      <c r="J34" s="13"/>
      <c r="K34" s="12"/>
      <c r="L34" s="13"/>
      <c r="M34" s="12"/>
      <c r="N34" s="13"/>
    </row>
    <row r="35" spans="1:14" ht="12.75">
      <c r="A35" s="539" t="s">
        <v>23</v>
      </c>
      <c r="B35" s="149" t="s">
        <v>94</v>
      </c>
      <c r="C35" s="105">
        <v>57</v>
      </c>
      <c r="D35" s="172">
        <f>(9.7+3.485+0.437+0.015)*1.075*1.2</f>
        <v>17.59173</v>
      </c>
      <c r="E35" s="542">
        <v>3</v>
      </c>
      <c r="F35" s="544">
        <v>58.17</v>
      </c>
      <c r="G35" s="266"/>
      <c r="H35" s="213"/>
      <c r="I35" s="4"/>
      <c r="J35" s="5"/>
      <c r="K35" s="4"/>
      <c r="L35" s="5"/>
      <c r="M35" s="4"/>
      <c r="N35" s="5"/>
    </row>
    <row r="36" spans="1:14" ht="15" customHeight="1">
      <c r="A36" s="540"/>
      <c r="B36" s="55" t="s">
        <v>95</v>
      </c>
      <c r="C36" s="195">
        <v>31</v>
      </c>
      <c r="D36" s="173">
        <f>(6.15+0.871+0.437+0.015)*1.075*1.2</f>
        <v>9.640170000000001</v>
      </c>
      <c r="E36" s="436"/>
      <c r="F36" s="483"/>
      <c r="G36" s="266"/>
      <c r="H36" s="213"/>
      <c r="I36" s="4"/>
      <c r="J36" s="5"/>
      <c r="K36" s="4"/>
      <c r="L36" s="5"/>
      <c r="M36" s="4"/>
      <c r="N36" s="5"/>
    </row>
    <row r="37" spans="1:14" ht="15" customHeight="1" thickBot="1">
      <c r="A37" s="541"/>
      <c r="B37" s="150" t="s">
        <v>113</v>
      </c>
      <c r="C37" s="196">
        <v>17.25</v>
      </c>
      <c r="D37" s="175">
        <f>49.863*1.075*1.2</f>
        <v>64.32327</v>
      </c>
      <c r="E37" s="543"/>
      <c r="F37" s="491"/>
      <c r="G37" s="266"/>
      <c r="H37" s="213"/>
      <c r="I37" s="4"/>
      <c r="J37" s="5"/>
      <c r="K37" s="4"/>
      <c r="L37" s="5"/>
      <c r="M37" s="4"/>
      <c r="N37" s="5"/>
    </row>
    <row r="38" spans="1:14" ht="12.75">
      <c r="A38" s="440" t="s">
        <v>24</v>
      </c>
      <c r="B38" s="55" t="s">
        <v>94</v>
      </c>
      <c r="C38" s="91">
        <v>856</v>
      </c>
      <c r="D38" s="172">
        <f>(9.7+3.879+0.437+0.015)*1.075*1.2</f>
        <v>18.09999</v>
      </c>
      <c r="E38" s="436">
        <v>11</v>
      </c>
      <c r="F38" s="431">
        <v>58.17</v>
      </c>
      <c r="G38" s="212"/>
      <c r="H38" s="213"/>
      <c r="I38" s="4"/>
      <c r="J38" s="5"/>
      <c r="K38" s="4"/>
      <c r="L38" s="5"/>
      <c r="M38" s="4"/>
      <c r="N38" s="5"/>
    </row>
    <row r="39" spans="1:14" ht="15" customHeight="1">
      <c r="A39" s="440"/>
      <c r="B39" s="55" t="s">
        <v>95</v>
      </c>
      <c r="C39" s="91">
        <v>575</v>
      </c>
      <c r="D39" s="173">
        <f>(6.15+0.97+0.437+0.015)*1.075*1.2</f>
        <v>9.767879999999998</v>
      </c>
      <c r="E39" s="436"/>
      <c r="F39" s="431"/>
      <c r="G39" s="212"/>
      <c r="H39" s="213"/>
      <c r="I39" s="4"/>
      <c r="J39" s="5"/>
      <c r="K39" s="4"/>
      <c r="L39" s="5"/>
      <c r="M39" s="4"/>
      <c r="N39" s="5"/>
    </row>
    <row r="40" spans="1:14" ht="15" customHeight="1" thickBot="1">
      <c r="A40" s="440"/>
      <c r="B40" s="55" t="s">
        <v>113</v>
      </c>
      <c r="C40" s="91">
        <v>17.25</v>
      </c>
      <c r="D40" s="175">
        <f>54.258*1.075*1.2</f>
        <v>69.99282</v>
      </c>
      <c r="E40" s="436"/>
      <c r="F40" s="431"/>
      <c r="G40" s="212"/>
      <c r="H40" s="213"/>
      <c r="I40" s="4"/>
      <c r="J40" s="5"/>
      <c r="K40" s="4"/>
      <c r="L40" s="5"/>
      <c r="M40" s="4"/>
      <c r="N40" s="5"/>
    </row>
    <row r="41" spans="1:14" ht="13.5" thickTop="1">
      <c r="A41" s="439" t="s">
        <v>25</v>
      </c>
      <c r="B41" s="51" t="s">
        <v>94</v>
      </c>
      <c r="C41" s="90">
        <v>911</v>
      </c>
      <c r="D41" s="172">
        <f>(9.7+3.879+0.437+0.015)*1.075*1.2</f>
        <v>18.09999</v>
      </c>
      <c r="E41" s="435">
        <v>2</v>
      </c>
      <c r="F41" s="362">
        <v>58.17</v>
      </c>
      <c r="G41" s="212"/>
      <c r="H41" s="213"/>
      <c r="I41" s="4"/>
      <c r="J41" s="5"/>
      <c r="K41" s="4"/>
      <c r="L41" s="5"/>
      <c r="M41" s="4"/>
      <c r="N41" s="5"/>
    </row>
    <row r="42" spans="1:14" ht="15" customHeight="1">
      <c r="A42" s="440"/>
      <c r="B42" s="55" t="s">
        <v>95</v>
      </c>
      <c r="C42" s="91">
        <v>678</v>
      </c>
      <c r="D42" s="173">
        <f>(6.15+0.97+0.437+0.015)*1.075*1.2</f>
        <v>9.767879999999998</v>
      </c>
      <c r="E42" s="436"/>
      <c r="F42" s="431"/>
      <c r="G42" s="212"/>
      <c r="H42" s="213"/>
      <c r="I42" s="4"/>
      <c r="J42" s="5"/>
      <c r="K42" s="4"/>
      <c r="L42" s="5"/>
      <c r="M42" s="4"/>
      <c r="N42" s="5"/>
    </row>
    <row r="43" spans="1:14" ht="15" customHeight="1" thickBot="1">
      <c r="A43" s="440"/>
      <c r="B43" s="55" t="s">
        <v>113</v>
      </c>
      <c r="C43" s="91">
        <v>17.25</v>
      </c>
      <c r="D43" s="175">
        <f>54.258*1.075*1.2</f>
        <v>69.99282</v>
      </c>
      <c r="E43" s="436"/>
      <c r="F43" s="431"/>
      <c r="G43" s="212"/>
      <c r="H43" s="213"/>
      <c r="I43" s="4"/>
      <c r="J43" s="5"/>
      <c r="K43" s="4"/>
      <c r="L43" s="5"/>
      <c r="M43" s="4"/>
      <c r="N43" s="5"/>
    </row>
    <row r="44" spans="1:14" ht="12.75">
      <c r="A44" s="447" t="s">
        <v>26</v>
      </c>
      <c r="B44" s="136" t="s">
        <v>94</v>
      </c>
      <c r="C44" s="90">
        <v>0</v>
      </c>
      <c r="D44" s="172">
        <f>(9.7+3.879+0.437+0.015)*1.075*1.2</f>
        <v>18.09999</v>
      </c>
      <c r="E44" s="468">
        <v>2</v>
      </c>
      <c r="F44" s="544">
        <v>58.17</v>
      </c>
      <c r="G44" s="267"/>
      <c r="H44" s="211"/>
      <c r="I44" s="9"/>
      <c r="J44" s="10"/>
      <c r="K44" s="9"/>
      <c r="L44" s="10"/>
      <c r="M44" s="9"/>
      <c r="N44" s="10"/>
    </row>
    <row r="45" spans="1:14" ht="15" customHeight="1">
      <c r="A45" s="448"/>
      <c r="B45" s="126" t="s">
        <v>95</v>
      </c>
      <c r="C45" s="91">
        <v>0</v>
      </c>
      <c r="D45" s="173">
        <f>(6.15+0.97+0.437+0.015)*1.075*1.2</f>
        <v>9.767879999999998</v>
      </c>
      <c r="E45" s="453"/>
      <c r="F45" s="483"/>
      <c r="G45" s="267"/>
      <c r="H45" s="211"/>
      <c r="I45" s="9"/>
      <c r="J45" s="10"/>
      <c r="K45" s="9"/>
      <c r="L45" s="10"/>
      <c r="M45" s="9"/>
      <c r="N45" s="10"/>
    </row>
    <row r="46" spans="1:14" ht="15" customHeight="1" thickBot="1">
      <c r="A46" s="449"/>
      <c r="B46" s="137" t="s">
        <v>113</v>
      </c>
      <c r="C46" s="91">
        <v>17.25</v>
      </c>
      <c r="D46" s="175">
        <f>54.258*1.075*1.2</f>
        <v>69.99282</v>
      </c>
      <c r="E46" s="469"/>
      <c r="F46" s="545"/>
      <c r="G46" s="261"/>
      <c r="H46" s="261"/>
      <c r="I46" s="104"/>
      <c r="J46" s="104"/>
      <c r="K46" s="104"/>
      <c r="L46" s="104"/>
      <c r="M46" s="104"/>
      <c r="N46" s="104"/>
    </row>
    <row r="47" spans="1:14" s="20" customFormat="1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s="27" customFormat="1" ht="12.75">
      <c r="A48" s="347" t="s">
        <v>32</v>
      </c>
      <c r="B48" s="347"/>
      <c r="C48" s="347"/>
      <c r="D48" s="348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47" t="s">
        <v>35</v>
      </c>
      <c r="C50" s="347"/>
      <c r="D50" s="347"/>
      <c r="E50" s="348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47" t="s">
        <v>34</v>
      </c>
      <c r="C51" s="347"/>
      <c r="D51" s="347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55"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  <mergeCell ref="F17:F19"/>
    <mergeCell ref="E20:E22"/>
    <mergeCell ref="E26:E28"/>
    <mergeCell ref="F26:F28"/>
    <mergeCell ref="F23:F25"/>
    <mergeCell ref="E23:E25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A17:A19"/>
    <mergeCell ref="E17:E19"/>
    <mergeCell ref="A29:A31"/>
    <mergeCell ref="E29:E31"/>
    <mergeCell ref="A20:A22"/>
    <mergeCell ref="A23:A25"/>
    <mergeCell ref="A26:A28"/>
    <mergeCell ref="I1:K1"/>
    <mergeCell ref="I2:K2"/>
    <mergeCell ref="I3:K3"/>
    <mergeCell ref="A6:N7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A14:A16"/>
    <mergeCell ref="A8:A10"/>
    <mergeCell ref="B8:D8"/>
    <mergeCell ref="E8:F8"/>
    <mergeCell ref="A11:A13"/>
    <mergeCell ref="D9:D10"/>
    <mergeCell ref="E9:E10"/>
    <mergeCell ref="B9:C1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31">
      <selection activeCell="G36" sqref="G36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24" customFormat="1" ht="15" customHeight="1">
      <c r="A1" s="19" t="s">
        <v>41</v>
      </c>
      <c r="B1" s="17" t="s">
        <v>50</v>
      </c>
      <c r="C1" s="17"/>
      <c r="D1" s="17"/>
      <c r="E1" s="18"/>
      <c r="F1" s="18"/>
      <c r="G1" s="18"/>
      <c r="H1" s="17" t="s">
        <v>29</v>
      </c>
      <c r="I1" s="17"/>
      <c r="J1" s="17"/>
      <c r="K1" s="18">
        <v>879</v>
      </c>
      <c r="L1" s="18"/>
      <c r="M1" s="18"/>
    </row>
    <row r="2" spans="1:13" s="24" customFormat="1" ht="15" customHeight="1">
      <c r="A2" s="17" t="s">
        <v>1</v>
      </c>
      <c r="B2" s="17" t="s">
        <v>63</v>
      </c>
      <c r="C2" s="17"/>
      <c r="D2" s="17"/>
      <c r="E2" s="18"/>
      <c r="F2" s="18"/>
      <c r="G2" s="18"/>
      <c r="H2" s="17" t="s">
        <v>2</v>
      </c>
      <c r="I2" s="17"/>
      <c r="J2" s="17"/>
      <c r="K2" s="18">
        <v>3</v>
      </c>
      <c r="L2" s="18"/>
      <c r="M2" s="18"/>
    </row>
    <row r="3" spans="1:13" s="24" customFormat="1" ht="15" customHeight="1">
      <c r="A3" s="17" t="s">
        <v>0</v>
      </c>
      <c r="B3" s="17" t="s">
        <v>63</v>
      </c>
      <c r="C3" s="17"/>
      <c r="D3" s="17"/>
      <c r="E3" s="18"/>
      <c r="F3" s="18"/>
      <c r="G3" s="18"/>
      <c r="H3" s="17" t="s">
        <v>3</v>
      </c>
      <c r="I3" s="17"/>
      <c r="J3" s="17"/>
      <c r="K3" s="18" t="s">
        <v>49</v>
      </c>
      <c r="L3" s="18"/>
      <c r="M3" s="18"/>
    </row>
    <row r="4" spans="1:14" s="24" customFormat="1" ht="15" customHeight="1">
      <c r="A4" s="17" t="s">
        <v>4</v>
      </c>
      <c r="B4" s="17" t="s">
        <v>64</v>
      </c>
      <c r="C4" s="17"/>
      <c r="D4" s="17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5" customHeight="1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5" customHeight="1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5" customHeight="1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5" customHeight="1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473" t="s">
        <v>27</v>
      </c>
      <c r="H9" s="474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customHeight="1" thickBot="1">
      <c r="A10" s="355"/>
      <c r="B10" s="558"/>
      <c r="C10" s="371"/>
      <c r="D10" s="431"/>
      <c r="E10" s="445"/>
      <c r="F10" s="345"/>
      <c r="G10" s="11" t="s">
        <v>114</v>
      </c>
      <c r="H10" s="3" t="s">
        <v>9</v>
      </c>
      <c r="I10" s="9" t="s">
        <v>12</v>
      </c>
      <c r="J10" s="10" t="s">
        <v>9</v>
      </c>
      <c r="K10" s="9" t="s">
        <v>10</v>
      </c>
      <c r="L10" s="10" t="s">
        <v>9</v>
      </c>
      <c r="M10" s="9" t="s">
        <v>30</v>
      </c>
      <c r="N10" s="10" t="s">
        <v>9</v>
      </c>
    </row>
    <row r="11" spans="1:14" ht="15" customHeight="1" thickTop="1">
      <c r="A11" s="373" t="s">
        <v>16</v>
      </c>
      <c r="B11" s="104" t="s">
        <v>100</v>
      </c>
      <c r="C11" s="171">
        <v>0</v>
      </c>
      <c r="D11" s="172">
        <f>(6.29+3.187+0.437+0.015)*1.075*1.2</f>
        <v>12.808409999999999</v>
      </c>
      <c r="E11" s="559"/>
      <c r="F11" s="560"/>
      <c r="G11" s="262"/>
      <c r="H11" s="268"/>
      <c r="I11" s="521"/>
      <c r="J11" s="521"/>
      <c r="K11" s="104"/>
      <c r="L11" s="104"/>
      <c r="M11" s="104"/>
      <c r="N11" s="104"/>
    </row>
    <row r="12" spans="1:14" ht="15" customHeight="1">
      <c r="A12" s="530"/>
      <c r="B12" s="105" t="s">
        <v>115</v>
      </c>
      <c r="C12" s="88">
        <v>0</v>
      </c>
      <c r="D12" s="173">
        <f>(4.04+0.797+0.437+0.015)*1.075*1.2</f>
        <v>6.82281</v>
      </c>
      <c r="E12" s="477"/>
      <c r="F12" s="480"/>
      <c r="G12" s="204"/>
      <c r="H12" s="269"/>
      <c r="I12" s="522"/>
      <c r="J12" s="522"/>
      <c r="K12" s="104"/>
      <c r="L12" s="104"/>
      <c r="M12" s="104"/>
      <c r="N12" s="104"/>
    </row>
    <row r="13" spans="1:14" ht="15" customHeight="1" thickBot="1">
      <c r="A13" s="369"/>
      <c r="B13" s="105" t="s">
        <v>111</v>
      </c>
      <c r="C13" s="144">
        <v>34.5</v>
      </c>
      <c r="D13" s="175">
        <f>49.291*1.075*1.2</f>
        <v>63.58538999999999</v>
      </c>
      <c r="E13" s="477"/>
      <c r="F13" s="480"/>
      <c r="G13" s="204"/>
      <c r="H13" s="269"/>
      <c r="I13" s="523"/>
      <c r="J13" s="523"/>
      <c r="K13" s="104"/>
      <c r="L13" s="104"/>
      <c r="M13" s="104"/>
      <c r="N13" s="104"/>
    </row>
    <row r="14" spans="1:14" ht="15" customHeight="1">
      <c r="A14" s="368" t="s">
        <v>17</v>
      </c>
      <c r="B14" s="104" t="s">
        <v>100</v>
      </c>
      <c r="C14" s="90">
        <v>0</v>
      </c>
      <c r="D14" s="172">
        <f>(6.29+4.04+0.437+0.015)*1.075*1.2</f>
        <v>13.90878</v>
      </c>
      <c r="E14" s="476"/>
      <c r="F14" s="479"/>
      <c r="G14" s="204"/>
      <c r="H14" s="269"/>
      <c r="I14" s="555"/>
      <c r="J14" s="521"/>
      <c r="K14" s="104"/>
      <c r="L14" s="104"/>
      <c r="M14" s="104"/>
      <c r="N14" s="104"/>
    </row>
    <row r="15" spans="1:14" ht="15" customHeight="1">
      <c r="A15" s="530"/>
      <c r="B15" s="104" t="s">
        <v>101</v>
      </c>
      <c r="C15" s="91">
        <v>0</v>
      </c>
      <c r="D15" s="173">
        <f>(4.04+0.871+0.437+0.015)*1.075*1.2</f>
        <v>6.918269999999999</v>
      </c>
      <c r="E15" s="477"/>
      <c r="F15" s="480"/>
      <c r="G15" s="204"/>
      <c r="H15" s="269"/>
      <c r="I15" s="556"/>
      <c r="J15" s="522"/>
      <c r="K15" s="104"/>
      <c r="L15" s="104"/>
      <c r="M15" s="104"/>
      <c r="N15" s="104"/>
    </row>
    <row r="16" spans="1:14" ht="15" customHeight="1" thickBot="1">
      <c r="A16" s="369"/>
      <c r="B16" s="104" t="s">
        <v>113</v>
      </c>
      <c r="C16" s="91">
        <v>34.5</v>
      </c>
      <c r="D16" s="175">
        <f>49.863*1.075*1.2</f>
        <v>64.32327</v>
      </c>
      <c r="E16" s="477"/>
      <c r="F16" s="480"/>
      <c r="G16" s="264"/>
      <c r="H16" s="270"/>
      <c r="I16" s="557"/>
      <c r="J16" s="523"/>
      <c r="K16" s="95"/>
      <c r="L16" s="5"/>
      <c r="M16" s="4"/>
      <c r="N16" s="5"/>
    </row>
    <row r="17" spans="1:14" ht="15" customHeight="1">
      <c r="A17" s="368" t="s">
        <v>18</v>
      </c>
      <c r="B17" s="104" t="s">
        <v>100</v>
      </c>
      <c r="C17" s="112">
        <v>0</v>
      </c>
      <c r="D17" s="172">
        <f>(6.29+4.04+0.437+0.015)*1.075*1.2</f>
        <v>13.90878</v>
      </c>
      <c r="E17" s="546"/>
      <c r="F17" s="549"/>
      <c r="G17" s="264"/>
      <c r="H17" s="265"/>
      <c r="I17" s="435"/>
      <c r="J17" s="362"/>
      <c r="K17" s="4"/>
      <c r="L17" s="5"/>
      <c r="M17" s="4"/>
      <c r="N17" s="5"/>
    </row>
    <row r="18" spans="1:14" ht="15" customHeight="1">
      <c r="A18" s="530"/>
      <c r="B18" s="105" t="s">
        <v>101</v>
      </c>
      <c r="C18" s="104">
        <v>0</v>
      </c>
      <c r="D18" s="173">
        <f>(4.04+0.871+0.437+0.015)*1.075*1.2</f>
        <v>6.918269999999999</v>
      </c>
      <c r="E18" s="547"/>
      <c r="F18" s="550"/>
      <c r="G18" s="264"/>
      <c r="H18" s="265"/>
      <c r="I18" s="436"/>
      <c r="J18" s="431"/>
      <c r="K18" s="4"/>
      <c r="L18" s="5"/>
      <c r="M18" s="4"/>
      <c r="N18" s="5"/>
    </row>
    <row r="19" spans="1:14" ht="15" customHeight="1" thickBot="1">
      <c r="A19" s="530"/>
      <c r="B19" s="104" t="s">
        <v>113</v>
      </c>
      <c r="C19" s="104">
        <v>34.5</v>
      </c>
      <c r="D19" s="175">
        <f>49.863*1.075*1.2</f>
        <v>64.32327</v>
      </c>
      <c r="E19" s="548"/>
      <c r="F19" s="551"/>
      <c r="G19" s="264"/>
      <c r="H19" s="265"/>
      <c r="I19" s="446"/>
      <c r="J19" s="363"/>
      <c r="K19" s="4"/>
      <c r="L19" s="5"/>
      <c r="M19" s="4"/>
      <c r="N19" s="5"/>
    </row>
    <row r="20" spans="1:14" ht="15" customHeight="1">
      <c r="A20" s="561" t="s">
        <v>19</v>
      </c>
      <c r="B20" s="104" t="s">
        <v>100</v>
      </c>
      <c r="C20" s="93">
        <v>0</v>
      </c>
      <c r="D20" s="172">
        <f>(6.29+4.04+0.437+0.015)*1.075*1.2</f>
        <v>13.90878</v>
      </c>
      <c r="E20" s="266"/>
      <c r="F20" s="213"/>
      <c r="G20" s="212"/>
      <c r="H20" s="213"/>
      <c r="I20" s="435"/>
      <c r="J20" s="362"/>
      <c r="K20" s="4"/>
      <c r="L20" s="5"/>
      <c r="M20" s="4"/>
      <c r="N20" s="5"/>
    </row>
    <row r="21" spans="1:14" ht="15" customHeight="1">
      <c r="A21" s="562"/>
      <c r="B21" s="105" t="s">
        <v>101</v>
      </c>
      <c r="C21" s="93">
        <v>0</v>
      </c>
      <c r="D21" s="173">
        <f>(4.04+0.871+0.437+0.015)*1.075*1.2</f>
        <v>6.918269999999999</v>
      </c>
      <c r="E21" s="266"/>
      <c r="F21" s="213"/>
      <c r="G21" s="212"/>
      <c r="H21" s="213"/>
      <c r="I21" s="436"/>
      <c r="J21" s="431"/>
      <c r="K21" s="4"/>
      <c r="L21" s="5"/>
      <c r="M21" s="4"/>
      <c r="N21" s="5"/>
    </row>
    <row r="22" spans="1:14" ht="15" customHeight="1" thickBot="1">
      <c r="A22" s="563"/>
      <c r="B22" s="104" t="s">
        <v>113</v>
      </c>
      <c r="C22" s="93">
        <v>34.5</v>
      </c>
      <c r="D22" s="175">
        <f>49.863*1.075*1.2</f>
        <v>64.32327</v>
      </c>
      <c r="E22" s="266"/>
      <c r="F22" s="213"/>
      <c r="G22" s="212"/>
      <c r="H22" s="213"/>
      <c r="I22" s="446"/>
      <c r="J22" s="363"/>
      <c r="K22" s="4"/>
      <c r="L22" s="5"/>
      <c r="M22" s="4"/>
      <c r="N22" s="5"/>
    </row>
    <row r="23" spans="1:14" ht="15" customHeight="1">
      <c r="A23" s="561" t="s">
        <v>20</v>
      </c>
      <c r="B23" s="104" t="s">
        <v>100</v>
      </c>
      <c r="C23" s="93">
        <v>0</v>
      </c>
      <c r="D23" s="172">
        <f>(6.29+4.04+0.437+0.015)*1.075*1.2</f>
        <v>13.90878</v>
      </c>
      <c r="E23" s="266"/>
      <c r="F23" s="213"/>
      <c r="G23" s="212"/>
      <c r="H23" s="213"/>
      <c r="I23" s="435"/>
      <c r="J23" s="362"/>
      <c r="K23" s="4"/>
      <c r="L23" s="5"/>
      <c r="M23" s="4"/>
      <c r="N23" s="5"/>
    </row>
    <row r="24" spans="1:14" ht="15" customHeight="1">
      <c r="A24" s="562"/>
      <c r="B24" s="105" t="s">
        <v>101</v>
      </c>
      <c r="C24" s="93">
        <v>0</v>
      </c>
      <c r="D24" s="173">
        <f>(4.04+0.871+0.437+0.015)*1.075*1.2</f>
        <v>6.918269999999999</v>
      </c>
      <c r="E24" s="266"/>
      <c r="F24" s="213"/>
      <c r="G24" s="212"/>
      <c r="H24" s="213"/>
      <c r="I24" s="436"/>
      <c r="J24" s="431"/>
      <c r="K24" s="4"/>
      <c r="L24" s="5"/>
      <c r="M24" s="4"/>
      <c r="N24" s="5"/>
    </row>
    <row r="25" spans="1:14" ht="15" customHeight="1" thickBot="1">
      <c r="A25" s="563"/>
      <c r="B25" s="104" t="s">
        <v>113</v>
      </c>
      <c r="C25" s="93">
        <v>34.5</v>
      </c>
      <c r="D25" s="175">
        <f>49.863*1.075*1.2</f>
        <v>64.32327</v>
      </c>
      <c r="E25" s="266"/>
      <c r="F25" s="213"/>
      <c r="G25" s="212"/>
      <c r="H25" s="213"/>
      <c r="I25" s="446"/>
      <c r="J25" s="363"/>
      <c r="K25" s="4"/>
      <c r="L25" s="5"/>
      <c r="M25" s="4"/>
      <c r="N25" s="5"/>
    </row>
    <row r="26" spans="1:14" ht="15" customHeight="1">
      <c r="A26" s="561" t="s">
        <v>21</v>
      </c>
      <c r="B26" s="104" t="s">
        <v>100</v>
      </c>
      <c r="C26" s="93">
        <v>0</v>
      </c>
      <c r="D26" s="172">
        <f>(6.29+4.04+0.437+0.015)*1.075*1.2</f>
        <v>13.90878</v>
      </c>
      <c r="E26" s="266"/>
      <c r="F26" s="213"/>
      <c r="G26" s="212"/>
      <c r="H26" s="213"/>
      <c r="I26" s="435"/>
      <c r="J26" s="362"/>
      <c r="K26" s="4"/>
      <c r="L26" s="5"/>
      <c r="M26" s="4"/>
      <c r="N26" s="5"/>
    </row>
    <row r="27" spans="1:14" ht="15" customHeight="1">
      <c r="A27" s="562"/>
      <c r="B27" s="105" t="s">
        <v>101</v>
      </c>
      <c r="C27" s="93">
        <v>0</v>
      </c>
      <c r="D27" s="173">
        <f>(4.04+0.871+0.437+0.015)*1.075*1.2</f>
        <v>6.918269999999999</v>
      </c>
      <c r="E27" s="266"/>
      <c r="F27" s="213"/>
      <c r="G27" s="212"/>
      <c r="H27" s="213"/>
      <c r="I27" s="436"/>
      <c r="J27" s="431"/>
      <c r="K27" s="4"/>
      <c r="L27" s="5"/>
      <c r="M27" s="4"/>
      <c r="N27" s="5"/>
    </row>
    <row r="28" spans="1:14" ht="15" customHeight="1" thickBot="1">
      <c r="A28" s="563"/>
      <c r="B28" s="104" t="s">
        <v>113</v>
      </c>
      <c r="C28" s="93">
        <v>34.5</v>
      </c>
      <c r="D28" s="175">
        <f>49.863*1.075*1.2</f>
        <v>64.32327</v>
      </c>
      <c r="E28" s="266"/>
      <c r="F28" s="213"/>
      <c r="G28" s="212"/>
      <c r="H28" s="213"/>
      <c r="I28" s="446"/>
      <c r="J28" s="363"/>
      <c r="K28" s="4"/>
      <c r="L28" s="5"/>
      <c r="M28" s="4"/>
      <c r="N28" s="5"/>
    </row>
    <row r="29" spans="1:14" ht="15" customHeight="1">
      <c r="A29" s="561" t="s">
        <v>69</v>
      </c>
      <c r="B29" s="104" t="s">
        <v>100</v>
      </c>
      <c r="C29" s="93">
        <v>0</v>
      </c>
      <c r="D29" s="172">
        <f>(6.29+4.04+0.437+0.015)*1.075*1.2</f>
        <v>13.90878</v>
      </c>
      <c r="E29" s="266"/>
      <c r="F29" s="213"/>
      <c r="G29" s="212"/>
      <c r="H29" s="213"/>
      <c r="I29" s="435"/>
      <c r="J29" s="362"/>
      <c r="K29" s="4"/>
      <c r="L29" s="5"/>
      <c r="M29" s="4"/>
      <c r="N29" s="5"/>
    </row>
    <row r="30" spans="1:14" ht="15" customHeight="1">
      <c r="A30" s="562"/>
      <c r="B30" s="105" t="s">
        <v>101</v>
      </c>
      <c r="C30" s="93">
        <v>0</v>
      </c>
      <c r="D30" s="173">
        <f>(4.04+0.871+0.437+0.015)*1.075*1.2</f>
        <v>6.918269999999999</v>
      </c>
      <c r="E30" s="266"/>
      <c r="F30" s="213"/>
      <c r="G30" s="212"/>
      <c r="H30" s="213"/>
      <c r="I30" s="436"/>
      <c r="J30" s="431"/>
      <c r="K30" s="4"/>
      <c r="L30" s="5"/>
      <c r="M30" s="4"/>
      <c r="N30" s="5"/>
    </row>
    <row r="31" spans="1:14" ht="15" customHeight="1" thickBot="1">
      <c r="A31" s="563"/>
      <c r="B31" s="104" t="s">
        <v>113</v>
      </c>
      <c r="C31" s="93">
        <v>34.5</v>
      </c>
      <c r="D31" s="175">
        <f>49.863*1.075*1.2</f>
        <v>64.32327</v>
      </c>
      <c r="E31" s="266"/>
      <c r="F31" s="213"/>
      <c r="G31" s="212"/>
      <c r="H31" s="213"/>
      <c r="I31" s="446"/>
      <c r="J31" s="363"/>
      <c r="K31" s="4"/>
      <c r="L31" s="5"/>
      <c r="M31" s="4"/>
      <c r="N31" s="5"/>
    </row>
    <row r="32" spans="1:14" ht="15" customHeight="1">
      <c r="A32" s="561" t="s">
        <v>22</v>
      </c>
      <c r="B32" s="104" t="s">
        <v>100</v>
      </c>
      <c r="C32" s="93">
        <v>0</v>
      </c>
      <c r="D32" s="172">
        <f>(9.7+3.485+0.437+0.015)*1.075*1.2</f>
        <v>17.59173</v>
      </c>
      <c r="E32" s="266"/>
      <c r="F32" s="213"/>
      <c r="G32" s="212"/>
      <c r="H32" s="213"/>
      <c r="I32" s="435"/>
      <c r="J32" s="362"/>
      <c r="K32" s="4"/>
      <c r="L32" s="5"/>
      <c r="M32" s="4"/>
      <c r="N32" s="5"/>
    </row>
    <row r="33" spans="1:14" ht="15" customHeight="1">
      <c r="A33" s="562"/>
      <c r="B33" s="105" t="s">
        <v>101</v>
      </c>
      <c r="C33" s="93">
        <v>0</v>
      </c>
      <c r="D33" s="173">
        <f>(6.15+0.871+0.437+0.015)*1.075*1.2</f>
        <v>9.640170000000001</v>
      </c>
      <c r="E33" s="266"/>
      <c r="F33" s="213"/>
      <c r="G33" s="212"/>
      <c r="H33" s="213"/>
      <c r="I33" s="436"/>
      <c r="J33" s="431"/>
      <c r="K33" s="4"/>
      <c r="L33" s="5"/>
      <c r="M33" s="4"/>
      <c r="N33" s="5"/>
    </row>
    <row r="34" spans="1:14" ht="15" customHeight="1" thickBot="1">
      <c r="A34" s="563"/>
      <c r="B34" s="104" t="s">
        <v>113</v>
      </c>
      <c r="C34" s="93">
        <v>34.5</v>
      </c>
      <c r="D34" s="175">
        <f>49.863*1.075*1.2</f>
        <v>64.32327</v>
      </c>
      <c r="E34" s="266"/>
      <c r="F34" s="213"/>
      <c r="G34" s="212"/>
      <c r="H34" s="213"/>
      <c r="I34" s="446"/>
      <c r="J34" s="363"/>
      <c r="K34" s="4"/>
      <c r="L34" s="5"/>
      <c r="M34" s="4"/>
      <c r="N34" s="5"/>
    </row>
    <row r="35" spans="1:14" ht="15" customHeight="1">
      <c r="A35" s="368" t="s">
        <v>23</v>
      </c>
      <c r="B35" s="104" t="s">
        <v>100</v>
      </c>
      <c r="C35" s="93">
        <v>0</v>
      </c>
      <c r="D35" s="172">
        <f>(9.7+3.485+0.437+0.015)*1.075*1.2</f>
        <v>17.59173</v>
      </c>
      <c r="E35" s="266"/>
      <c r="F35" s="213"/>
      <c r="G35" s="212"/>
      <c r="H35" s="213"/>
      <c r="I35" s="435"/>
      <c r="J35" s="362"/>
      <c r="K35" s="4"/>
      <c r="L35" s="5"/>
      <c r="M35" s="4"/>
      <c r="N35" s="5"/>
    </row>
    <row r="36" spans="1:14" ht="15" customHeight="1">
      <c r="A36" s="530"/>
      <c r="B36" s="105" t="s">
        <v>101</v>
      </c>
      <c r="C36" s="93">
        <v>0</v>
      </c>
      <c r="D36" s="173">
        <f>(6.15+0.871+0.437+0.015)*1.075*1.2</f>
        <v>9.640170000000001</v>
      </c>
      <c r="E36" s="266"/>
      <c r="F36" s="213"/>
      <c r="G36" s="212"/>
      <c r="H36" s="213"/>
      <c r="I36" s="436"/>
      <c r="J36" s="431"/>
      <c r="K36" s="4"/>
      <c r="L36" s="5"/>
      <c r="M36" s="4"/>
      <c r="N36" s="5"/>
    </row>
    <row r="37" spans="1:14" ht="15" customHeight="1" thickBot="1">
      <c r="A37" s="369"/>
      <c r="B37" s="104" t="s">
        <v>113</v>
      </c>
      <c r="C37" s="93">
        <v>34.5</v>
      </c>
      <c r="D37" s="175">
        <f>49.863*1.075*1.2</f>
        <v>64.32327</v>
      </c>
      <c r="E37" s="266"/>
      <c r="F37" s="213"/>
      <c r="G37" s="212"/>
      <c r="H37" s="213"/>
      <c r="I37" s="446"/>
      <c r="J37" s="363"/>
      <c r="K37" s="4"/>
      <c r="L37" s="5"/>
      <c r="M37" s="4"/>
      <c r="N37" s="5"/>
    </row>
    <row r="38" spans="1:14" ht="15" customHeight="1">
      <c r="A38" s="368" t="s">
        <v>24</v>
      </c>
      <c r="B38" s="104" t="s">
        <v>100</v>
      </c>
      <c r="C38" s="93">
        <v>0</v>
      </c>
      <c r="D38" s="172">
        <f>(9.7+3.879+0.437+0.015)*1.075*1.2</f>
        <v>18.09999</v>
      </c>
      <c r="E38" s="266"/>
      <c r="F38" s="213"/>
      <c r="G38" s="212"/>
      <c r="H38" s="213"/>
      <c r="I38" s="552"/>
      <c r="J38" s="521"/>
      <c r="K38" s="4"/>
      <c r="L38" s="5"/>
      <c r="M38" s="4"/>
      <c r="N38" s="5"/>
    </row>
    <row r="39" spans="1:14" ht="15" customHeight="1">
      <c r="A39" s="530"/>
      <c r="B39" s="105" t="s">
        <v>101</v>
      </c>
      <c r="C39" s="93">
        <v>0</v>
      </c>
      <c r="D39" s="173">
        <f>(6.15+0.97+0.437+0.015)*1.075*1.2</f>
        <v>9.767879999999998</v>
      </c>
      <c r="E39" s="266"/>
      <c r="F39" s="213"/>
      <c r="G39" s="212"/>
      <c r="H39" s="213"/>
      <c r="I39" s="553"/>
      <c r="J39" s="522"/>
      <c r="K39" s="4"/>
      <c r="L39" s="5"/>
      <c r="M39" s="4"/>
      <c r="N39" s="5"/>
    </row>
    <row r="40" spans="1:14" ht="15" customHeight="1" thickBot="1">
      <c r="A40" s="369"/>
      <c r="B40" s="104" t="s">
        <v>113</v>
      </c>
      <c r="C40" s="93">
        <v>34.5</v>
      </c>
      <c r="D40" s="175">
        <f>54.258*1.075*1.2</f>
        <v>69.99282</v>
      </c>
      <c r="E40" s="266"/>
      <c r="F40" s="213"/>
      <c r="G40" s="212"/>
      <c r="H40" s="213"/>
      <c r="I40" s="554"/>
      <c r="J40" s="523"/>
      <c r="K40" s="4"/>
      <c r="L40" s="5"/>
      <c r="M40" s="4"/>
      <c r="N40" s="5"/>
    </row>
    <row r="41" spans="1:14" ht="15" customHeight="1">
      <c r="A41" s="368" t="s">
        <v>25</v>
      </c>
      <c r="B41" s="104" t="s">
        <v>100</v>
      </c>
      <c r="C41" s="104">
        <v>0</v>
      </c>
      <c r="D41" s="172">
        <f>(9.7+3.879+0.437+0.015)*1.075*1.2</f>
        <v>18.09999</v>
      </c>
      <c r="E41" s="266"/>
      <c r="F41" s="213"/>
      <c r="G41" s="212"/>
      <c r="H41" s="213"/>
      <c r="I41" s="552"/>
      <c r="J41" s="362"/>
      <c r="K41" s="4"/>
      <c r="L41" s="5"/>
      <c r="M41" s="4"/>
      <c r="N41" s="5"/>
    </row>
    <row r="42" spans="1:14" ht="15" customHeight="1">
      <c r="A42" s="530"/>
      <c r="B42" s="105" t="s">
        <v>101</v>
      </c>
      <c r="C42" s="104">
        <v>0</v>
      </c>
      <c r="D42" s="173">
        <f>(6.15+0.97+0.437+0.015)*1.075*1.2</f>
        <v>9.767879999999998</v>
      </c>
      <c r="E42" s="266"/>
      <c r="F42" s="213"/>
      <c r="G42" s="212"/>
      <c r="H42" s="213"/>
      <c r="I42" s="553"/>
      <c r="J42" s="431"/>
      <c r="K42" s="4"/>
      <c r="L42" s="5"/>
      <c r="M42" s="4"/>
      <c r="N42" s="5"/>
    </row>
    <row r="43" spans="1:14" ht="15" customHeight="1" thickBot="1">
      <c r="A43" s="369"/>
      <c r="B43" s="104" t="s">
        <v>113</v>
      </c>
      <c r="C43" s="104">
        <v>34.5</v>
      </c>
      <c r="D43" s="175">
        <f>54.258*1.075*1.2</f>
        <v>69.99282</v>
      </c>
      <c r="E43" s="266"/>
      <c r="F43" s="213"/>
      <c r="G43" s="212"/>
      <c r="H43" s="213"/>
      <c r="I43" s="554"/>
      <c r="J43" s="363"/>
      <c r="K43" s="4"/>
      <c r="L43" s="5"/>
      <c r="M43" s="4"/>
      <c r="N43" s="5"/>
    </row>
    <row r="44" spans="1:14" ht="15" customHeight="1">
      <c r="A44" s="368" t="s">
        <v>26</v>
      </c>
      <c r="B44" s="104" t="s">
        <v>100</v>
      </c>
      <c r="C44" s="104">
        <v>0</v>
      </c>
      <c r="D44" s="172">
        <f>(9.7+3.879+0.437+0.015)*1.075*1.2</f>
        <v>18.09999</v>
      </c>
      <c r="E44" s="267"/>
      <c r="F44" s="211"/>
      <c r="G44" s="210"/>
      <c r="H44" s="211"/>
      <c r="I44" s="435"/>
      <c r="J44" s="362"/>
      <c r="K44" s="9"/>
      <c r="L44" s="10"/>
      <c r="M44" s="9"/>
      <c r="N44" s="10"/>
    </row>
    <row r="45" spans="1:14" ht="15" customHeight="1">
      <c r="A45" s="530"/>
      <c r="B45" s="105" t="s">
        <v>101</v>
      </c>
      <c r="C45" s="104">
        <v>0</v>
      </c>
      <c r="D45" s="173">
        <f>(6.15+0.97+0.437+0.015)*1.075*1.2</f>
        <v>9.767879999999998</v>
      </c>
      <c r="E45" s="267"/>
      <c r="F45" s="211"/>
      <c r="G45" s="210"/>
      <c r="H45" s="211"/>
      <c r="I45" s="436"/>
      <c r="J45" s="431"/>
      <c r="K45" s="9"/>
      <c r="L45" s="10"/>
      <c r="M45" s="9"/>
      <c r="N45" s="10"/>
    </row>
    <row r="46" spans="1:14" ht="15" customHeight="1" thickBot="1">
      <c r="A46" s="333"/>
      <c r="B46" s="104" t="s">
        <v>113</v>
      </c>
      <c r="C46" s="104">
        <v>34.5</v>
      </c>
      <c r="D46" s="175">
        <f>54.258*1.075*1.2</f>
        <v>69.99282</v>
      </c>
      <c r="E46" s="272"/>
      <c r="F46" s="252"/>
      <c r="G46" s="251"/>
      <c r="H46" s="252"/>
      <c r="I46" s="445"/>
      <c r="J46" s="345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5">
    <mergeCell ref="A26:A28"/>
    <mergeCell ref="A29:A31"/>
    <mergeCell ref="A32:A34"/>
    <mergeCell ref="A14:A16"/>
    <mergeCell ref="A17:A19"/>
    <mergeCell ref="A20:A22"/>
    <mergeCell ref="A23:A25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F11:F13"/>
    <mergeCell ref="J20:J22"/>
    <mergeCell ref="I11:I13"/>
    <mergeCell ref="J11:J13"/>
    <mergeCell ref="I14:I16"/>
    <mergeCell ref="J14:J16"/>
    <mergeCell ref="I17:I19"/>
    <mergeCell ref="J17:J19"/>
    <mergeCell ref="I20:I22"/>
    <mergeCell ref="J29:J31"/>
    <mergeCell ref="I32:I34"/>
    <mergeCell ref="I35:I37"/>
    <mergeCell ref="I23:I25"/>
    <mergeCell ref="J23:J25"/>
    <mergeCell ref="I26:I28"/>
    <mergeCell ref="J26:J28"/>
    <mergeCell ref="I29:I31"/>
    <mergeCell ref="I44:I46"/>
    <mergeCell ref="J32:J34"/>
    <mergeCell ref="J35:J37"/>
    <mergeCell ref="J38:J40"/>
    <mergeCell ref="J41:J43"/>
    <mergeCell ref="J44:J46"/>
    <mergeCell ref="I38:I40"/>
    <mergeCell ref="I41:I43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4">
      <selection activeCell="E49" sqref="E49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29" t="s">
        <v>41</v>
      </c>
      <c r="B1" s="30" t="s">
        <v>103</v>
      </c>
      <c r="C1" s="30"/>
      <c r="D1" s="31"/>
      <c r="E1" s="31"/>
      <c r="F1" s="31">
        <v>51131</v>
      </c>
      <c r="G1" s="31"/>
      <c r="H1" s="29" t="s">
        <v>29</v>
      </c>
      <c r="I1" s="29"/>
      <c r="J1" s="29"/>
      <c r="K1" s="31">
        <v>1104</v>
      </c>
      <c r="M1" s="31"/>
      <c r="N1" s="31"/>
      <c r="O1" s="32"/>
    </row>
    <row r="2" spans="1:15" ht="13.5" customHeight="1">
      <c r="A2" s="30" t="s">
        <v>1</v>
      </c>
      <c r="B2" s="30" t="s">
        <v>105</v>
      </c>
      <c r="C2" s="30"/>
      <c r="D2" s="31"/>
      <c r="E2" s="31"/>
      <c r="F2" s="31">
        <v>51130</v>
      </c>
      <c r="G2" s="31"/>
      <c r="H2" s="30" t="s">
        <v>2</v>
      </c>
      <c r="I2" s="30"/>
      <c r="J2" s="30"/>
      <c r="K2" s="31">
        <v>7</v>
      </c>
      <c r="M2" s="31"/>
      <c r="N2" s="31"/>
      <c r="O2" s="32"/>
    </row>
    <row r="3" spans="1:15" ht="12.75" customHeight="1">
      <c r="A3" s="30" t="s">
        <v>0</v>
      </c>
      <c r="B3" s="30" t="s">
        <v>38</v>
      </c>
      <c r="C3" s="30"/>
      <c r="D3" s="31"/>
      <c r="E3" s="31"/>
      <c r="F3" s="31"/>
      <c r="G3" s="31"/>
      <c r="H3" s="30" t="s">
        <v>3</v>
      </c>
      <c r="I3" s="30"/>
      <c r="J3" s="30"/>
      <c r="K3" s="31">
        <v>2</v>
      </c>
      <c r="M3" s="31"/>
      <c r="N3" s="31"/>
      <c r="O3" s="32"/>
    </row>
    <row r="4" spans="1:15" ht="12.75" customHeight="1">
      <c r="A4" s="30" t="s">
        <v>4</v>
      </c>
      <c r="B4" s="30">
        <v>195</v>
      </c>
      <c r="C4" s="30"/>
      <c r="D4" s="31"/>
      <c r="E4" s="31"/>
      <c r="F4" s="31"/>
      <c r="G4" s="31"/>
      <c r="H4" s="30" t="s">
        <v>31</v>
      </c>
      <c r="I4" s="30"/>
      <c r="J4" s="30"/>
      <c r="K4" s="30" t="s">
        <v>62</v>
      </c>
      <c r="M4" s="31"/>
      <c r="N4" s="31"/>
      <c r="O4" s="31"/>
    </row>
    <row r="5" spans="1:15" ht="15.7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 t="s">
        <v>65</v>
      </c>
      <c r="M5" s="32"/>
      <c r="N5" s="32"/>
      <c r="O5" s="32"/>
    </row>
    <row r="6" spans="1:15" ht="9.75" customHeight="1" thickTop="1">
      <c r="A6" s="321" t="s">
        <v>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3"/>
      <c r="O6" s="32"/>
    </row>
    <row r="7" spans="1:15" ht="9.75" customHeight="1" thickBo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6"/>
      <c r="O7" s="32"/>
    </row>
    <row r="8" spans="1:15" ht="15" customHeight="1" thickBot="1" thickTop="1">
      <c r="A8" s="327" t="s">
        <v>6</v>
      </c>
      <c r="B8" s="297" t="s">
        <v>7</v>
      </c>
      <c r="C8" s="298"/>
      <c r="D8" s="299"/>
      <c r="E8" s="297" t="s">
        <v>11</v>
      </c>
      <c r="F8" s="299"/>
      <c r="G8" s="311" t="s">
        <v>15</v>
      </c>
      <c r="H8" s="300"/>
      <c r="I8" s="300"/>
      <c r="J8" s="300"/>
      <c r="K8" s="300"/>
      <c r="L8" s="300"/>
      <c r="M8" s="300"/>
      <c r="N8" s="341"/>
      <c r="O8" s="32"/>
    </row>
    <row r="9" spans="1:15" ht="15" customHeight="1" thickTop="1">
      <c r="A9" s="328"/>
      <c r="B9" s="317" t="s">
        <v>8</v>
      </c>
      <c r="C9" s="318"/>
      <c r="D9" s="301" t="s">
        <v>9</v>
      </c>
      <c r="E9" s="302" t="s">
        <v>66</v>
      </c>
      <c r="F9" s="301" t="s">
        <v>9</v>
      </c>
      <c r="G9" s="319" t="s">
        <v>27</v>
      </c>
      <c r="H9" s="320"/>
      <c r="I9" s="319" t="s">
        <v>28</v>
      </c>
      <c r="J9" s="320"/>
      <c r="K9" s="319" t="s">
        <v>13</v>
      </c>
      <c r="L9" s="320"/>
      <c r="M9" s="319" t="s">
        <v>14</v>
      </c>
      <c r="N9" s="320"/>
      <c r="O9" s="32"/>
    </row>
    <row r="10" spans="1:15" ht="15" customHeight="1" thickBot="1">
      <c r="A10" s="296"/>
      <c r="B10" s="315"/>
      <c r="C10" s="312"/>
      <c r="D10" s="342"/>
      <c r="E10" s="303"/>
      <c r="F10" s="304"/>
      <c r="G10" s="11" t="s">
        <v>114</v>
      </c>
      <c r="H10" s="36" t="s">
        <v>9</v>
      </c>
      <c r="I10" s="37" t="s">
        <v>12</v>
      </c>
      <c r="J10" s="36" t="s">
        <v>9</v>
      </c>
      <c r="K10" s="37" t="s">
        <v>96</v>
      </c>
      <c r="L10" s="36" t="s">
        <v>9</v>
      </c>
      <c r="M10" s="37" t="s">
        <v>97</v>
      </c>
      <c r="N10" s="36" t="s">
        <v>9</v>
      </c>
      <c r="O10" s="32"/>
    </row>
    <row r="11" spans="1:15" ht="12.75" customHeight="1" thickTop="1">
      <c r="A11" s="317" t="s">
        <v>16</v>
      </c>
      <c r="B11" s="239" t="s">
        <v>94</v>
      </c>
      <c r="C11" s="171">
        <v>1480</v>
      </c>
      <c r="D11" s="172">
        <f>(6.29+2.177+0.437+0.015)*1.075*1.2</f>
        <v>11.50551</v>
      </c>
      <c r="E11" s="318">
        <v>50</v>
      </c>
      <c r="F11" s="301">
        <v>52.47</v>
      </c>
      <c r="G11" s="305">
        <v>934</v>
      </c>
      <c r="H11" s="301">
        <v>56.19</v>
      </c>
      <c r="I11" s="40"/>
      <c r="J11" s="41"/>
      <c r="K11" s="40"/>
      <c r="L11" s="41"/>
      <c r="M11" s="40"/>
      <c r="N11" s="41"/>
      <c r="O11" s="32"/>
    </row>
    <row r="12" spans="1:15" ht="12.75" customHeight="1">
      <c r="A12" s="315"/>
      <c r="B12" s="240" t="s">
        <v>95</v>
      </c>
      <c r="C12" s="88">
        <v>220</v>
      </c>
      <c r="D12" s="173">
        <f>(4.04+0.726+0.437+0.015)*1.075*1.2</f>
        <v>6.7312199999999995</v>
      </c>
      <c r="E12" s="312"/>
      <c r="F12" s="342"/>
      <c r="G12" s="306"/>
      <c r="H12" s="342"/>
      <c r="I12" s="40"/>
      <c r="J12" s="41"/>
      <c r="K12" s="40"/>
      <c r="L12" s="41"/>
      <c r="M12" s="40"/>
      <c r="N12" s="41"/>
      <c r="O12" s="32"/>
    </row>
    <row r="13" spans="1:15" ht="12" customHeight="1" thickBot="1">
      <c r="A13" s="316"/>
      <c r="B13" s="241" t="s">
        <v>107</v>
      </c>
      <c r="C13" s="144">
        <v>33</v>
      </c>
      <c r="D13" s="175">
        <f>157.732*1.075*1.2</f>
        <v>203.47427999999996</v>
      </c>
      <c r="E13" s="313"/>
      <c r="F13" s="343"/>
      <c r="G13" s="192">
        <v>24019</v>
      </c>
      <c r="H13" s="39">
        <v>6.91</v>
      </c>
      <c r="I13" s="38"/>
      <c r="J13" s="39"/>
      <c r="K13" s="38"/>
      <c r="L13" s="39"/>
      <c r="M13" s="38"/>
      <c r="N13" s="39"/>
      <c r="O13" s="32"/>
    </row>
    <row r="14" spans="1:15" ht="15" customHeight="1" thickTop="1">
      <c r="A14" s="314" t="s">
        <v>17</v>
      </c>
      <c r="B14" s="83" t="s">
        <v>94</v>
      </c>
      <c r="C14" s="163">
        <v>1520</v>
      </c>
      <c r="D14" s="172">
        <f>(6.29+2.241+0.437+0.015)*1.075*1.2</f>
        <v>11.58807</v>
      </c>
      <c r="E14" s="311">
        <f>175</f>
        <v>175</v>
      </c>
      <c r="F14" s="341">
        <v>52.47</v>
      </c>
      <c r="G14" s="305">
        <v>934</v>
      </c>
      <c r="H14" s="301">
        <v>56.19</v>
      </c>
      <c r="I14" s="40"/>
      <c r="J14" s="41"/>
      <c r="K14" s="40"/>
      <c r="L14" s="41"/>
      <c r="M14" s="40"/>
      <c r="N14" s="41"/>
      <c r="O14" s="32"/>
    </row>
    <row r="15" spans="1:15" ht="15" customHeight="1">
      <c r="A15" s="315"/>
      <c r="B15" s="83" t="s">
        <v>95</v>
      </c>
      <c r="C15" s="78">
        <v>180</v>
      </c>
      <c r="D15" s="173">
        <f>(4.04+0.747+0.437+0.015)*1.075*1.2</f>
        <v>6.75831</v>
      </c>
      <c r="E15" s="312"/>
      <c r="F15" s="342"/>
      <c r="G15" s="306"/>
      <c r="H15" s="342"/>
      <c r="I15" s="40"/>
      <c r="J15" s="41"/>
      <c r="K15" s="40"/>
      <c r="L15" s="41"/>
      <c r="M15" s="40"/>
      <c r="N15" s="41"/>
      <c r="O15" s="32"/>
    </row>
    <row r="16" spans="1:15" ht="15" customHeight="1" thickBot="1">
      <c r="A16" s="316"/>
      <c r="B16" s="81" t="s">
        <v>107</v>
      </c>
      <c r="C16" s="78">
        <v>33</v>
      </c>
      <c r="D16" s="175">
        <f>159.562*1.075*1.2</f>
        <v>205.83498</v>
      </c>
      <c r="E16" s="312"/>
      <c r="F16" s="342"/>
      <c r="G16" s="192">
        <v>29075</v>
      </c>
      <c r="H16" s="39">
        <v>6.91</v>
      </c>
      <c r="I16" s="40"/>
      <c r="J16" s="41"/>
      <c r="K16" s="40"/>
      <c r="L16" s="41"/>
      <c r="M16" s="40"/>
      <c r="N16" s="41"/>
      <c r="O16" s="32"/>
    </row>
    <row r="17" spans="1:15" ht="15" customHeight="1">
      <c r="A17" s="314" t="s">
        <v>18</v>
      </c>
      <c r="B17" s="85" t="s">
        <v>94</v>
      </c>
      <c r="C17" s="164">
        <v>1740</v>
      </c>
      <c r="D17" s="172">
        <f>(6.29+2.241+0.437+0.015)*1.075*1.2</f>
        <v>11.58807</v>
      </c>
      <c r="E17" s="311">
        <v>147</v>
      </c>
      <c r="F17" s="341">
        <v>52.47</v>
      </c>
      <c r="G17" s="339">
        <v>934</v>
      </c>
      <c r="H17" s="341">
        <v>56.19</v>
      </c>
      <c r="I17" s="62"/>
      <c r="J17" s="34"/>
      <c r="K17" s="62"/>
      <c r="L17" s="34"/>
      <c r="M17" s="62"/>
      <c r="N17" s="34"/>
      <c r="O17" s="32"/>
    </row>
    <row r="18" spans="1:15" ht="15" customHeight="1">
      <c r="A18" s="315"/>
      <c r="B18" s="83" t="s">
        <v>95</v>
      </c>
      <c r="C18" s="78">
        <v>220</v>
      </c>
      <c r="D18" s="173">
        <f>(4.04+0.747+0.437+0.015)*1.075*1.2</f>
        <v>6.75831</v>
      </c>
      <c r="E18" s="312"/>
      <c r="F18" s="342"/>
      <c r="G18" s="340"/>
      <c r="H18" s="342"/>
      <c r="I18" s="40"/>
      <c r="J18" s="41"/>
      <c r="K18" s="40"/>
      <c r="L18" s="41"/>
      <c r="M18" s="40"/>
      <c r="N18" s="41"/>
      <c r="O18" s="32"/>
    </row>
    <row r="19" spans="1:15" ht="15" customHeight="1" thickBot="1">
      <c r="A19" s="316"/>
      <c r="B19" s="81" t="s">
        <v>107</v>
      </c>
      <c r="C19" s="77">
        <v>33</v>
      </c>
      <c r="D19" s="175">
        <f>159.562*1.075*1.2</f>
        <v>205.83498</v>
      </c>
      <c r="E19" s="313"/>
      <c r="F19" s="343"/>
      <c r="G19" s="193">
        <v>23285</v>
      </c>
      <c r="H19" s="180">
        <v>6.91</v>
      </c>
      <c r="I19" s="38"/>
      <c r="J19" s="39"/>
      <c r="K19" s="38"/>
      <c r="L19" s="39"/>
      <c r="M19" s="38"/>
      <c r="N19" s="39"/>
      <c r="O19" s="32"/>
    </row>
    <row r="20" spans="1:15" ht="15" customHeight="1">
      <c r="A20" s="314" t="s">
        <v>19</v>
      </c>
      <c r="B20" s="85" t="s">
        <v>94</v>
      </c>
      <c r="C20" s="164">
        <v>1480</v>
      </c>
      <c r="D20" s="172">
        <f>(6.29+2.241+0.437+0.015)*1.075*1.2</f>
        <v>11.58807</v>
      </c>
      <c r="E20" s="311">
        <v>54</v>
      </c>
      <c r="F20" s="341">
        <v>52.47</v>
      </c>
      <c r="G20" s="339">
        <v>934</v>
      </c>
      <c r="H20" s="341">
        <v>56.19</v>
      </c>
      <c r="I20" s="62"/>
      <c r="J20" s="34"/>
      <c r="K20" s="62"/>
      <c r="L20" s="34"/>
      <c r="M20" s="62"/>
      <c r="N20" s="34"/>
      <c r="O20" s="32"/>
    </row>
    <row r="21" spans="1:15" ht="15" customHeight="1">
      <c r="A21" s="315"/>
      <c r="B21" s="83" t="s">
        <v>95</v>
      </c>
      <c r="C21" s="78">
        <v>240</v>
      </c>
      <c r="D21" s="173">
        <f>(4.04+0.747+0.437+0.015)*1.075*1.2</f>
        <v>6.75831</v>
      </c>
      <c r="E21" s="312"/>
      <c r="F21" s="342"/>
      <c r="G21" s="340"/>
      <c r="H21" s="342"/>
      <c r="I21" s="40"/>
      <c r="J21" s="41"/>
      <c r="K21" s="40"/>
      <c r="L21" s="41"/>
      <c r="M21" s="40"/>
      <c r="N21" s="41"/>
      <c r="O21" s="32"/>
    </row>
    <row r="22" spans="1:15" ht="15" customHeight="1" thickBot="1">
      <c r="A22" s="316"/>
      <c r="B22" s="81" t="s">
        <v>107</v>
      </c>
      <c r="C22" s="77">
        <v>33</v>
      </c>
      <c r="D22" s="175">
        <f>159.562*1.075*1.2</f>
        <v>205.83498</v>
      </c>
      <c r="E22" s="313"/>
      <c r="F22" s="343"/>
      <c r="G22" s="193">
        <v>20241</v>
      </c>
      <c r="H22" s="180">
        <v>6.91</v>
      </c>
      <c r="I22" s="38"/>
      <c r="J22" s="39"/>
      <c r="K22" s="38"/>
      <c r="L22" s="39"/>
      <c r="M22" s="38"/>
      <c r="N22" s="39"/>
      <c r="O22" s="32"/>
    </row>
    <row r="23" spans="1:15" ht="15" customHeight="1">
      <c r="A23" s="314" t="s">
        <v>20</v>
      </c>
      <c r="B23" s="85" t="s">
        <v>94</v>
      </c>
      <c r="C23" s="164">
        <f>1380</f>
        <v>1380</v>
      </c>
      <c r="D23" s="172">
        <f>(6.29+2.241+0.437+0.015)*1.075*1.2</f>
        <v>11.58807</v>
      </c>
      <c r="E23" s="311">
        <v>33</v>
      </c>
      <c r="F23" s="341">
        <v>52.47</v>
      </c>
      <c r="G23" s="339">
        <v>934</v>
      </c>
      <c r="H23" s="341">
        <v>56.19</v>
      </c>
      <c r="I23" s="62"/>
      <c r="J23" s="34"/>
      <c r="K23" s="62"/>
      <c r="L23" s="34"/>
      <c r="M23" s="62"/>
      <c r="N23" s="34"/>
      <c r="O23" s="32"/>
    </row>
    <row r="24" spans="1:15" ht="15" customHeight="1">
      <c r="A24" s="315"/>
      <c r="B24" s="83" t="s">
        <v>95</v>
      </c>
      <c r="C24" s="78">
        <f>180</f>
        <v>180</v>
      </c>
      <c r="D24" s="173">
        <f>(4.04+0.747+0.437+0.015)*1.075*1.2</f>
        <v>6.75831</v>
      </c>
      <c r="E24" s="312"/>
      <c r="F24" s="342"/>
      <c r="G24" s="340"/>
      <c r="H24" s="342"/>
      <c r="I24" s="40"/>
      <c r="J24" s="41"/>
      <c r="K24" s="40"/>
      <c r="L24" s="41"/>
      <c r="M24" s="40"/>
      <c r="N24" s="41"/>
      <c r="O24" s="32"/>
    </row>
    <row r="25" spans="1:15" ht="15" customHeight="1" thickBot="1">
      <c r="A25" s="316"/>
      <c r="B25" s="81" t="s">
        <v>107</v>
      </c>
      <c r="C25" s="77">
        <v>33</v>
      </c>
      <c r="D25" s="175">
        <f>159.562*1.075*1.2</f>
        <v>205.83498</v>
      </c>
      <c r="E25" s="313"/>
      <c r="F25" s="343"/>
      <c r="G25" s="193">
        <v>0</v>
      </c>
      <c r="H25" s="180">
        <v>6.91</v>
      </c>
      <c r="I25" s="38"/>
      <c r="J25" s="39"/>
      <c r="K25" s="38"/>
      <c r="L25" s="39"/>
      <c r="M25" s="38"/>
      <c r="N25" s="39"/>
      <c r="O25" s="32"/>
    </row>
    <row r="26" spans="1:15" ht="15" customHeight="1">
      <c r="A26" s="314" t="s">
        <v>68</v>
      </c>
      <c r="B26" s="85" t="s">
        <v>94</v>
      </c>
      <c r="C26" s="164">
        <v>1720</v>
      </c>
      <c r="D26" s="172">
        <f>(6.29+2.241+0.437+0.015)*1.075*1.2</f>
        <v>11.58807</v>
      </c>
      <c r="E26" s="311">
        <v>45</v>
      </c>
      <c r="F26" s="341">
        <v>52.47</v>
      </c>
      <c r="G26" s="339">
        <v>934</v>
      </c>
      <c r="H26" s="341">
        <v>56.19</v>
      </c>
      <c r="I26" s="62"/>
      <c r="J26" s="34"/>
      <c r="K26" s="62"/>
      <c r="L26" s="34"/>
      <c r="M26" s="62"/>
      <c r="N26" s="34"/>
      <c r="O26" s="32"/>
    </row>
    <row r="27" spans="1:15" ht="15" customHeight="1">
      <c r="A27" s="315"/>
      <c r="B27" s="81" t="s">
        <v>95</v>
      </c>
      <c r="C27" s="78">
        <v>220</v>
      </c>
      <c r="D27" s="173">
        <f>(4.04+0.747+0.437+0.015)*1.075*1.2</f>
        <v>6.75831</v>
      </c>
      <c r="E27" s="312"/>
      <c r="F27" s="342"/>
      <c r="G27" s="340"/>
      <c r="H27" s="342"/>
      <c r="I27" s="40"/>
      <c r="J27" s="41"/>
      <c r="K27" s="40"/>
      <c r="L27" s="41"/>
      <c r="M27" s="40"/>
      <c r="N27" s="41"/>
      <c r="O27" s="32"/>
    </row>
    <row r="28" spans="1:15" ht="15" customHeight="1" thickBot="1">
      <c r="A28" s="316"/>
      <c r="B28" s="81" t="s">
        <v>107</v>
      </c>
      <c r="C28" s="77">
        <v>33</v>
      </c>
      <c r="D28" s="175">
        <f>159.562*1.075*1.2</f>
        <v>205.83498</v>
      </c>
      <c r="E28" s="313"/>
      <c r="F28" s="343"/>
      <c r="G28" s="193">
        <v>0</v>
      </c>
      <c r="H28" s="180">
        <v>6.91</v>
      </c>
      <c r="I28" s="38"/>
      <c r="J28" s="39"/>
      <c r="K28" s="38"/>
      <c r="L28" s="39"/>
      <c r="M28" s="38"/>
      <c r="N28" s="39"/>
      <c r="O28" s="32"/>
    </row>
    <row r="29" spans="1:15" ht="15" customHeight="1">
      <c r="A29" s="314" t="s">
        <v>69</v>
      </c>
      <c r="B29" s="85" t="s">
        <v>94</v>
      </c>
      <c r="C29" s="164">
        <v>1060</v>
      </c>
      <c r="D29" s="172">
        <f>(6.29+2.241+0.437+0.015)*1.075*1.2</f>
        <v>11.58807</v>
      </c>
      <c r="E29" s="311">
        <v>40</v>
      </c>
      <c r="F29" s="341">
        <v>52.47</v>
      </c>
      <c r="G29" s="339">
        <v>934</v>
      </c>
      <c r="H29" s="341">
        <v>56.19</v>
      </c>
      <c r="I29" s="9"/>
      <c r="J29" s="10"/>
      <c r="K29" s="9"/>
      <c r="L29" s="10"/>
      <c r="M29" s="9"/>
      <c r="N29" s="10"/>
      <c r="O29" s="32"/>
    </row>
    <row r="30" spans="1:15" ht="15" customHeight="1">
      <c r="A30" s="315"/>
      <c r="B30" s="83" t="s">
        <v>95</v>
      </c>
      <c r="C30" s="78">
        <v>180</v>
      </c>
      <c r="D30" s="173">
        <f>(4.04+0.747+0.437+0.015)*1.075*1.2</f>
        <v>6.75831</v>
      </c>
      <c r="E30" s="312"/>
      <c r="F30" s="342"/>
      <c r="G30" s="340"/>
      <c r="H30" s="342"/>
      <c r="I30" s="6"/>
      <c r="J30" s="7"/>
      <c r="K30" s="6"/>
      <c r="L30" s="7"/>
      <c r="M30" s="6"/>
      <c r="N30" s="7"/>
      <c r="O30" s="32"/>
    </row>
    <row r="31" spans="1:15" ht="15" customHeight="1" thickBot="1">
      <c r="A31" s="316"/>
      <c r="B31" s="81" t="s">
        <v>107</v>
      </c>
      <c r="C31" s="77">
        <v>33</v>
      </c>
      <c r="D31" s="175">
        <f>159.562*1.075*1.2</f>
        <v>205.83498</v>
      </c>
      <c r="E31" s="313"/>
      <c r="F31" s="343"/>
      <c r="G31" s="193">
        <v>0</v>
      </c>
      <c r="H31" s="180">
        <v>6.91</v>
      </c>
      <c r="I31" s="12"/>
      <c r="J31" s="13"/>
      <c r="K31" s="12"/>
      <c r="L31" s="13"/>
      <c r="M31" s="12"/>
      <c r="N31" s="13"/>
      <c r="O31" s="32"/>
    </row>
    <row r="32" spans="1:15" ht="15" customHeight="1">
      <c r="A32" s="314" t="s">
        <v>22</v>
      </c>
      <c r="B32" s="85" t="s">
        <v>94</v>
      </c>
      <c r="C32" s="247">
        <v>1200</v>
      </c>
      <c r="D32" s="172">
        <f>(6.29+2.241+0.437+0.015)*1.075*1.2</f>
        <v>11.58807</v>
      </c>
      <c r="E32" s="311">
        <v>33</v>
      </c>
      <c r="F32" s="341">
        <v>52.47</v>
      </c>
      <c r="G32" s="339">
        <v>934</v>
      </c>
      <c r="H32" s="341">
        <v>56.19</v>
      </c>
      <c r="I32" s="12"/>
      <c r="J32" s="13"/>
      <c r="K32" s="12"/>
      <c r="L32" s="13"/>
      <c r="M32" s="12"/>
      <c r="N32" s="13"/>
      <c r="O32" s="32"/>
    </row>
    <row r="33" spans="1:15" ht="15" customHeight="1">
      <c r="A33" s="315"/>
      <c r="B33" s="83" t="s">
        <v>95</v>
      </c>
      <c r="C33" s="84">
        <v>100</v>
      </c>
      <c r="D33" s="173">
        <f>(4.04+0.747+0.437+0.015)*1.075*1.2</f>
        <v>6.75831</v>
      </c>
      <c r="E33" s="312"/>
      <c r="F33" s="342"/>
      <c r="G33" s="340"/>
      <c r="H33" s="342"/>
      <c r="I33" s="12"/>
      <c r="J33" s="13"/>
      <c r="K33" s="12"/>
      <c r="L33" s="13"/>
      <c r="M33" s="12"/>
      <c r="N33" s="13"/>
      <c r="O33" s="32"/>
    </row>
    <row r="34" spans="1:15" ht="15" customHeight="1" thickBot="1">
      <c r="A34" s="316"/>
      <c r="B34" s="81" t="s">
        <v>107</v>
      </c>
      <c r="C34" s="82">
        <v>33</v>
      </c>
      <c r="D34" s="175">
        <f>159.562*1.075*1.2</f>
        <v>205.83498</v>
      </c>
      <c r="E34" s="313"/>
      <c r="F34" s="343"/>
      <c r="G34" s="193">
        <v>0</v>
      </c>
      <c r="H34" s="180">
        <v>6.91</v>
      </c>
      <c r="I34" s="42"/>
      <c r="J34" s="43"/>
      <c r="K34" s="42"/>
      <c r="L34" s="43"/>
      <c r="M34" s="42"/>
      <c r="N34" s="43"/>
      <c r="O34" s="32"/>
    </row>
    <row r="35" spans="1:15" ht="13.5" customHeight="1">
      <c r="A35" s="314" t="s">
        <v>23</v>
      </c>
      <c r="B35" s="85" t="s">
        <v>94</v>
      </c>
      <c r="C35" s="164">
        <v>2040</v>
      </c>
      <c r="D35" s="172">
        <f>(9.7+2.241+0.437+0.015)*1.075*1.2</f>
        <v>15.986969999999998</v>
      </c>
      <c r="E35" s="311">
        <f>40</f>
        <v>40</v>
      </c>
      <c r="F35" s="341">
        <v>58.17</v>
      </c>
      <c r="G35" s="339">
        <v>934</v>
      </c>
      <c r="H35" s="341">
        <v>56.19</v>
      </c>
      <c r="I35" s="42"/>
      <c r="J35" s="43"/>
      <c r="K35" s="42"/>
      <c r="L35" s="43"/>
      <c r="M35" s="42"/>
      <c r="N35" s="43"/>
      <c r="O35" s="32"/>
    </row>
    <row r="36" spans="1:15" ht="13.5" customHeight="1">
      <c r="A36" s="315"/>
      <c r="B36" s="83" t="s">
        <v>95</v>
      </c>
      <c r="C36" s="78">
        <v>160</v>
      </c>
      <c r="D36" s="173">
        <f>(6.15+0.747+0.437+0.015)*1.075*1.2</f>
        <v>9.48021</v>
      </c>
      <c r="E36" s="312"/>
      <c r="F36" s="342"/>
      <c r="G36" s="340"/>
      <c r="H36" s="342"/>
      <c r="I36" s="42"/>
      <c r="J36" s="43"/>
      <c r="K36" s="42"/>
      <c r="L36" s="43"/>
      <c r="M36" s="42"/>
      <c r="N36" s="43"/>
      <c r="O36" s="32"/>
    </row>
    <row r="37" spans="1:15" ht="11.25" customHeight="1" thickBot="1">
      <c r="A37" s="316"/>
      <c r="B37" s="81" t="s">
        <v>107</v>
      </c>
      <c r="C37" s="77">
        <v>33</v>
      </c>
      <c r="D37" s="175">
        <f>159.562*1.075*1.2</f>
        <v>205.83498</v>
      </c>
      <c r="E37" s="313"/>
      <c r="F37" s="343"/>
      <c r="G37" s="193">
        <v>0</v>
      </c>
      <c r="H37" s="180">
        <v>6.91</v>
      </c>
      <c r="I37" s="42"/>
      <c r="J37" s="43"/>
      <c r="K37" s="42"/>
      <c r="L37" s="43"/>
      <c r="M37" s="42"/>
      <c r="N37" s="43"/>
      <c r="O37" s="32"/>
    </row>
    <row r="38" spans="1:15" ht="14.25" customHeight="1">
      <c r="A38" s="314" t="s">
        <v>24</v>
      </c>
      <c r="B38" s="85" t="s">
        <v>94</v>
      </c>
      <c r="C38" s="79">
        <v>2140</v>
      </c>
      <c r="D38" s="172">
        <f>(9.7+2.473+0.437+0.015)*1.075*1.2</f>
        <v>16.286249999999995</v>
      </c>
      <c r="E38" s="311">
        <v>45</v>
      </c>
      <c r="F38" s="341">
        <v>58.17</v>
      </c>
      <c r="G38" s="339">
        <v>934</v>
      </c>
      <c r="H38" s="341">
        <v>56.19</v>
      </c>
      <c r="I38" s="42"/>
      <c r="J38" s="43"/>
      <c r="K38" s="42"/>
      <c r="L38" s="43"/>
      <c r="M38" s="42"/>
      <c r="N38" s="43"/>
      <c r="O38" s="32"/>
    </row>
    <row r="39" spans="1:15" ht="14.25" customHeight="1">
      <c r="A39" s="315"/>
      <c r="B39" s="83" t="s">
        <v>95</v>
      </c>
      <c r="C39" s="78">
        <v>180</v>
      </c>
      <c r="D39" s="173">
        <f>(6.15+0.824+0.437+0.015)*1.075*1.2</f>
        <v>9.57954</v>
      </c>
      <c r="E39" s="312"/>
      <c r="F39" s="342"/>
      <c r="G39" s="340"/>
      <c r="H39" s="342"/>
      <c r="I39" s="42"/>
      <c r="J39" s="43"/>
      <c r="K39" s="42"/>
      <c r="L39" s="43"/>
      <c r="M39" s="42"/>
      <c r="N39" s="43"/>
      <c r="O39" s="32"/>
    </row>
    <row r="40" spans="1:15" ht="12.75" customHeight="1" thickBot="1">
      <c r="A40" s="316"/>
      <c r="B40" s="81" t="s">
        <v>107</v>
      </c>
      <c r="C40" s="77">
        <v>33</v>
      </c>
      <c r="D40" s="175">
        <f>173.626*1.075*1.2</f>
        <v>223.97754</v>
      </c>
      <c r="E40" s="313"/>
      <c r="F40" s="343"/>
      <c r="G40" s="193">
        <v>14321</v>
      </c>
      <c r="H40" s="180">
        <v>6.91</v>
      </c>
      <c r="I40" s="42"/>
      <c r="J40" s="43"/>
      <c r="K40" s="42"/>
      <c r="L40" s="43"/>
      <c r="M40" s="42"/>
      <c r="N40" s="43"/>
      <c r="O40" s="32"/>
    </row>
    <row r="41" spans="1:15" ht="15" customHeight="1">
      <c r="A41" s="314" t="s">
        <v>25</v>
      </c>
      <c r="B41" s="85" t="s">
        <v>94</v>
      </c>
      <c r="C41" s="79">
        <v>2100</v>
      </c>
      <c r="D41" s="172">
        <f>(9.7+2.473+0.437+0.015)*1.075*1.2</f>
        <v>16.286249999999995</v>
      </c>
      <c r="E41" s="311">
        <v>77</v>
      </c>
      <c r="F41" s="341">
        <v>58.17</v>
      </c>
      <c r="G41" s="339">
        <v>934</v>
      </c>
      <c r="H41" s="341">
        <v>56.19</v>
      </c>
      <c r="I41" s="42"/>
      <c r="J41" s="43"/>
      <c r="K41" s="42"/>
      <c r="L41" s="43"/>
      <c r="M41" s="42"/>
      <c r="N41" s="43"/>
      <c r="O41" s="32"/>
    </row>
    <row r="42" spans="1:15" ht="15" customHeight="1">
      <c r="A42" s="315"/>
      <c r="B42" s="83" t="s">
        <v>95</v>
      </c>
      <c r="C42" s="78">
        <v>180</v>
      </c>
      <c r="D42" s="173">
        <f>(6.15+0.824+0.437+0.015)*1.075*1.2</f>
        <v>9.57954</v>
      </c>
      <c r="E42" s="312"/>
      <c r="F42" s="342"/>
      <c r="G42" s="340"/>
      <c r="H42" s="342"/>
      <c r="I42" s="42"/>
      <c r="J42" s="43"/>
      <c r="K42" s="42"/>
      <c r="L42" s="43"/>
      <c r="M42" s="42"/>
      <c r="N42" s="43"/>
      <c r="O42" s="32"/>
    </row>
    <row r="43" spans="1:15" ht="15" customHeight="1" thickBot="1">
      <c r="A43" s="316"/>
      <c r="B43" s="81" t="s">
        <v>107</v>
      </c>
      <c r="C43" s="77">
        <v>33</v>
      </c>
      <c r="D43" s="175">
        <f>173.626*1.075*1.2</f>
        <v>223.97754</v>
      </c>
      <c r="E43" s="313"/>
      <c r="F43" s="343"/>
      <c r="G43" s="193">
        <v>22668</v>
      </c>
      <c r="H43" s="180">
        <v>6.91</v>
      </c>
      <c r="I43" s="42"/>
      <c r="J43" s="43"/>
      <c r="K43" s="42"/>
      <c r="L43" s="43"/>
      <c r="M43" s="42"/>
      <c r="N43" s="43"/>
      <c r="O43" s="32"/>
    </row>
    <row r="44" spans="1:15" ht="12" customHeight="1">
      <c r="A44" s="314" t="s">
        <v>26</v>
      </c>
      <c r="B44" s="85" t="s">
        <v>94</v>
      </c>
      <c r="C44" s="79">
        <v>2380</v>
      </c>
      <c r="D44" s="172">
        <f>(9.7+2.473+0.437+0.015)*1.075*1.2</f>
        <v>16.286249999999995</v>
      </c>
      <c r="E44" s="311">
        <v>50</v>
      </c>
      <c r="F44" s="341">
        <v>58.17</v>
      </c>
      <c r="G44" s="339">
        <v>934</v>
      </c>
      <c r="H44" s="341">
        <v>56.19</v>
      </c>
      <c r="I44" s="62"/>
      <c r="J44" s="34"/>
      <c r="K44" s="62"/>
      <c r="L44" s="34"/>
      <c r="M44" s="62"/>
      <c r="N44" s="34"/>
      <c r="O44" s="32"/>
    </row>
    <row r="45" spans="1:15" ht="12" customHeight="1">
      <c r="A45" s="315"/>
      <c r="B45" s="83" t="s">
        <v>95</v>
      </c>
      <c r="C45" s="78">
        <v>200</v>
      </c>
      <c r="D45" s="173">
        <f>(6.15+0.824+0.437+0.015)*1.075*1.2</f>
        <v>9.57954</v>
      </c>
      <c r="E45" s="312"/>
      <c r="F45" s="342"/>
      <c r="G45" s="340"/>
      <c r="H45" s="342"/>
      <c r="I45" s="62"/>
      <c r="J45" s="34"/>
      <c r="K45" s="62"/>
      <c r="L45" s="34"/>
      <c r="M45" s="62"/>
      <c r="N45" s="34"/>
      <c r="O45" s="32"/>
    </row>
    <row r="46" spans="1:15" ht="12.75" customHeight="1" thickBot="1">
      <c r="A46" s="307"/>
      <c r="B46" s="81" t="s">
        <v>107</v>
      </c>
      <c r="C46" s="77">
        <v>33</v>
      </c>
      <c r="D46" s="175">
        <f>173.626*1.075*1.2</f>
        <v>223.97754</v>
      </c>
      <c r="E46" s="308"/>
      <c r="F46" s="304"/>
      <c r="G46" s="193">
        <v>25519</v>
      </c>
      <c r="H46" s="180">
        <v>6.91</v>
      </c>
      <c r="I46" s="37"/>
      <c r="J46" s="36"/>
      <c r="K46" s="37"/>
      <c r="L46" s="36"/>
      <c r="M46" s="37"/>
      <c r="N46" s="36"/>
      <c r="O46" s="32"/>
    </row>
    <row r="47" spans="1:15" ht="9.75" customHeight="1" thickTop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ht="13.5" customHeight="1"/>
    <row r="49" spans="6:9" ht="13.5" customHeight="1">
      <c r="F49" s="91"/>
      <c r="G49" s="91"/>
      <c r="H49" s="91"/>
      <c r="I49" s="91"/>
    </row>
    <row r="50" spans="6:9" ht="13.5" customHeight="1">
      <c r="F50" s="91"/>
      <c r="G50" s="337"/>
      <c r="H50" s="338"/>
      <c r="I50" s="91"/>
    </row>
    <row r="51" spans="6:9" ht="13.5" customHeight="1">
      <c r="F51" s="91"/>
      <c r="G51" s="337"/>
      <c r="H51" s="338"/>
      <c r="I51" s="91"/>
    </row>
    <row r="52" spans="6:9" ht="13.5" customHeight="1">
      <c r="F52" s="91"/>
      <c r="G52" s="181"/>
      <c r="H52" s="168"/>
      <c r="I52" s="91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G32:G33"/>
    <mergeCell ref="A35:A37"/>
    <mergeCell ref="F35:F37"/>
    <mergeCell ref="A38:A40"/>
    <mergeCell ref="E38:E40"/>
    <mergeCell ref="F38:F40"/>
    <mergeCell ref="G38:G39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1">
      <selection activeCell="C46" sqref="C4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44" t="s">
        <v>41</v>
      </c>
      <c r="B1" s="45" t="s">
        <v>42</v>
      </c>
      <c r="C1" s="45"/>
      <c r="D1" s="46"/>
      <c r="E1" s="47">
        <v>51400</v>
      </c>
      <c r="F1" s="47"/>
      <c r="G1" s="47"/>
      <c r="H1" s="47"/>
      <c r="I1" s="384" t="s">
        <v>29</v>
      </c>
      <c r="J1" s="384"/>
      <c r="K1" s="384"/>
      <c r="L1" s="48">
        <v>1081</v>
      </c>
      <c r="M1" s="47"/>
      <c r="N1" s="47"/>
      <c r="O1" s="46"/>
    </row>
    <row r="2" spans="1:15" ht="12.75">
      <c r="A2" s="45" t="s">
        <v>1</v>
      </c>
      <c r="B2" s="45" t="s">
        <v>57</v>
      </c>
      <c r="C2" s="45"/>
      <c r="D2" s="46"/>
      <c r="E2" s="47"/>
      <c r="F2" s="47"/>
      <c r="G2" s="47"/>
      <c r="H2" s="47"/>
      <c r="I2" s="384" t="s">
        <v>2</v>
      </c>
      <c r="J2" s="384"/>
      <c r="K2" s="384"/>
      <c r="L2" s="47">
        <v>8</v>
      </c>
      <c r="M2" s="47"/>
      <c r="N2" s="47"/>
      <c r="O2" s="46"/>
    </row>
    <row r="3" spans="1:15" ht="12.75">
      <c r="A3" s="45" t="s">
        <v>0</v>
      </c>
      <c r="B3" s="45" t="s">
        <v>38</v>
      </c>
      <c r="C3" s="45"/>
      <c r="D3" s="46"/>
      <c r="E3" s="47"/>
      <c r="F3" s="47"/>
      <c r="G3" s="47"/>
      <c r="H3" s="47"/>
      <c r="I3" s="384" t="s">
        <v>3</v>
      </c>
      <c r="J3" s="384"/>
      <c r="K3" s="384"/>
      <c r="L3" s="47" t="s">
        <v>49</v>
      </c>
      <c r="M3" s="47"/>
      <c r="N3" s="47"/>
      <c r="O3" s="46"/>
    </row>
    <row r="4" spans="1:15" ht="12.75">
      <c r="A4" s="45" t="s">
        <v>4</v>
      </c>
      <c r="B4" s="45">
        <v>208</v>
      </c>
      <c r="C4" s="45"/>
      <c r="D4" s="47"/>
      <c r="E4" s="47"/>
      <c r="F4" s="47"/>
      <c r="G4" s="47"/>
      <c r="H4" s="47"/>
      <c r="I4" s="45" t="s">
        <v>31</v>
      </c>
      <c r="J4" s="45"/>
      <c r="K4" s="45"/>
      <c r="L4" s="45" t="s">
        <v>62</v>
      </c>
      <c r="M4" s="47"/>
      <c r="N4" s="47"/>
      <c r="O4" s="47"/>
    </row>
    <row r="5" spans="1:15" ht="13.5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9"/>
      <c r="L5" s="49" t="s">
        <v>65</v>
      </c>
      <c r="M5" s="49"/>
      <c r="N5" s="47"/>
      <c r="O5" s="46"/>
    </row>
    <row r="6" spans="1:15" ht="13.5" thickTop="1">
      <c r="A6" s="385" t="s">
        <v>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  <c r="O6" s="46"/>
    </row>
    <row r="7" spans="1:15" ht="13.5" thickBot="1">
      <c r="A7" s="388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90"/>
      <c r="O7" s="46"/>
    </row>
    <row r="8" spans="1:15" ht="14.25" thickBot="1" thickTop="1">
      <c r="A8" s="282" t="s">
        <v>6</v>
      </c>
      <c r="B8" s="274" t="s">
        <v>7</v>
      </c>
      <c r="C8" s="275"/>
      <c r="D8" s="276"/>
      <c r="E8" s="274" t="s">
        <v>11</v>
      </c>
      <c r="F8" s="276"/>
      <c r="G8" s="284" t="s">
        <v>15</v>
      </c>
      <c r="H8" s="285"/>
      <c r="I8" s="285"/>
      <c r="J8" s="285"/>
      <c r="K8" s="285"/>
      <c r="L8" s="285"/>
      <c r="M8" s="285"/>
      <c r="N8" s="309"/>
      <c r="O8" s="46"/>
    </row>
    <row r="9" spans="1:15" ht="13.5" thickTop="1">
      <c r="A9" s="295"/>
      <c r="B9" s="277" t="s">
        <v>8</v>
      </c>
      <c r="C9" s="278"/>
      <c r="D9" s="286" t="s">
        <v>9</v>
      </c>
      <c r="E9" s="287" t="s">
        <v>67</v>
      </c>
      <c r="F9" s="286" t="s">
        <v>9</v>
      </c>
      <c r="G9" s="280" t="s">
        <v>27</v>
      </c>
      <c r="H9" s="281"/>
      <c r="I9" s="280" t="s">
        <v>28</v>
      </c>
      <c r="J9" s="281"/>
      <c r="K9" s="280" t="s">
        <v>13</v>
      </c>
      <c r="L9" s="281"/>
      <c r="M9" s="280" t="s">
        <v>14</v>
      </c>
      <c r="N9" s="281"/>
      <c r="O9" s="46"/>
    </row>
    <row r="10" spans="1:15" ht="13.5" thickBot="1">
      <c r="A10" s="283"/>
      <c r="B10" s="279"/>
      <c r="C10" s="383"/>
      <c r="D10" s="310"/>
      <c r="E10" s="288"/>
      <c r="F10" s="289"/>
      <c r="G10" s="11" t="s">
        <v>114</v>
      </c>
      <c r="H10" s="53" t="s">
        <v>9</v>
      </c>
      <c r="I10" s="54" t="s">
        <v>12</v>
      </c>
      <c r="J10" s="53" t="s">
        <v>9</v>
      </c>
      <c r="K10" s="54" t="s">
        <v>67</v>
      </c>
      <c r="L10" s="53" t="s">
        <v>9</v>
      </c>
      <c r="M10" s="54" t="s">
        <v>30</v>
      </c>
      <c r="N10" s="53" t="s">
        <v>9</v>
      </c>
      <c r="O10" s="46"/>
    </row>
    <row r="11" spans="1:15" ht="15.75" customHeight="1" thickTop="1">
      <c r="A11" s="277" t="s">
        <v>16</v>
      </c>
      <c r="B11" s="242" t="s">
        <v>94</v>
      </c>
      <c r="C11" s="171">
        <v>1770</v>
      </c>
      <c r="D11" s="172">
        <f>(6.29+3.187+0.437+0.015)*1.075*1.2</f>
        <v>12.808409999999999</v>
      </c>
      <c r="E11" s="278">
        <f>72</f>
        <v>72</v>
      </c>
      <c r="F11" s="286">
        <v>52.47</v>
      </c>
      <c r="G11" s="391">
        <v>1098.8</v>
      </c>
      <c r="H11" s="393">
        <v>56.19</v>
      </c>
      <c r="I11" s="51"/>
      <c r="J11" s="52"/>
      <c r="K11" s="51"/>
      <c r="L11" s="52"/>
      <c r="M11" s="51"/>
      <c r="N11" s="52"/>
      <c r="O11" s="46"/>
    </row>
    <row r="12" spans="1:15" ht="15" customHeight="1">
      <c r="A12" s="279"/>
      <c r="B12" s="243" t="s">
        <v>95</v>
      </c>
      <c r="C12" s="88">
        <v>420</v>
      </c>
      <c r="D12" s="173">
        <f>(4.04+0.797+0.437+0.015)*1.075*1.2</f>
        <v>6.82281</v>
      </c>
      <c r="E12" s="383"/>
      <c r="F12" s="310"/>
      <c r="G12" s="392"/>
      <c r="H12" s="394"/>
      <c r="I12" s="55"/>
      <c r="J12" s="56"/>
      <c r="K12" s="55"/>
      <c r="L12" s="56"/>
      <c r="M12" s="55"/>
      <c r="N12" s="56"/>
      <c r="O12" s="46"/>
    </row>
    <row r="13" spans="1:15" ht="15" customHeight="1" thickBot="1">
      <c r="A13" s="279"/>
      <c r="B13" s="137" t="s">
        <v>113</v>
      </c>
      <c r="C13" s="144">
        <v>17.25</v>
      </c>
      <c r="D13" s="175">
        <f>49.291*1.075*1.2</f>
        <v>63.58538999999999</v>
      </c>
      <c r="E13" s="383"/>
      <c r="F13" s="310"/>
      <c r="G13" s="257">
        <v>29403</v>
      </c>
      <c r="H13" s="183">
        <v>6.91</v>
      </c>
      <c r="I13" s="55"/>
      <c r="J13" s="56"/>
      <c r="K13" s="55"/>
      <c r="L13" s="56"/>
      <c r="M13" s="55"/>
      <c r="N13" s="56"/>
      <c r="O13" s="46"/>
    </row>
    <row r="14" spans="1:15" ht="15" customHeight="1" thickTop="1">
      <c r="A14" s="295" t="s">
        <v>17</v>
      </c>
      <c r="B14" s="55" t="s">
        <v>94</v>
      </c>
      <c r="C14" s="166">
        <v>1590</v>
      </c>
      <c r="D14" s="172">
        <f>(6.29+3.485+0.437+0.015)*1.075*1.2</f>
        <v>13.19283</v>
      </c>
      <c r="E14" s="395">
        <v>167</v>
      </c>
      <c r="F14" s="309">
        <v>52.47</v>
      </c>
      <c r="G14" s="391">
        <v>1098.8</v>
      </c>
      <c r="H14" s="393">
        <v>56.19</v>
      </c>
      <c r="I14" s="55"/>
      <c r="J14" s="56"/>
      <c r="K14" s="55"/>
      <c r="L14" s="56"/>
      <c r="M14" s="55"/>
      <c r="N14" s="56"/>
      <c r="O14" s="46"/>
    </row>
    <row r="15" spans="1:15" ht="15" customHeight="1">
      <c r="A15" s="295"/>
      <c r="B15" s="55" t="s">
        <v>95</v>
      </c>
      <c r="C15" s="88">
        <v>450</v>
      </c>
      <c r="D15" s="173">
        <f>(4.04+0.871+0.437+0.015)*1.075*1.2</f>
        <v>6.918269999999999</v>
      </c>
      <c r="E15" s="312"/>
      <c r="F15" s="310"/>
      <c r="G15" s="392"/>
      <c r="H15" s="394"/>
      <c r="I15" s="55"/>
      <c r="J15" s="56"/>
      <c r="K15" s="55"/>
      <c r="L15" s="56"/>
      <c r="M15" s="55"/>
      <c r="N15" s="56"/>
      <c r="O15" s="46"/>
    </row>
    <row r="16" spans="1:15" ht="15" customHeight="1" thickBot="1">
      <c r="A16" s="295"/>
      <c r="B16" s="55" t="s">
        <v>113</v>
      </c>
      <c r="C16" s="88">
        <v>17.25</v>
      </c>
      <c r="D16" s="175">
        <f>49.863*1.075*1.2</f>
        <v>64.32327</v>
      </c>
      <c r="E16" s="312"/>
      <c r="F16" s="310"/>
      <c r="G16" s="257">
        <v>32748</v>
      </c>
      <c r="H16" s="183">
        <v>6.91</v>
      </c>
      <c r="I16" s="55"/>
      <c r="J16" s="56"/>
      <c r="K16" s="55"/>
      <c r="L16" s="56"/>
      <c r="M16" s="55"/>
      <c r="N16" s="56"/>
      <c r="O16" s="46"/>
    </row>
    <row r="17" spans="1:15" ht="15" customHeight="1" thickTop="1">
      <c r="A17" s="295" t="s">
        <v>18</v>
      </c>
      <c r="B17" s="51" t="s">
        <v>94</v>
      </c>
      <c r="C17" s="167">
        <v>2070</v>
      </c>
      <c r="D17" s="172">
        <f>(6.29+3.485+0.437+0.015)*1.075*1.2</f>
        <v>13.19283</v>
      </c>
      <c r="E17" s="292">
        <v>143</v>
      </c>
      <c r="F17" s="309">
        <v>52.47</v>
      </c>
      <c r="G17" s="290">
        <v>1098.8</v>
      </c>
      <c r="H17" s="393">
        <v>56.19</v>
      </c>
      <c r="I17" s="59"/>
      <c r="J17" s="50"/>
      <c r="K17" s="59"/>
      <c r="L17" s="50"/>
      <c r="M17" s="59"/>
      <c r="N17" s="50"/>
      <c r="O17" s="46"/>
    </row>
    <row r="18" spans="1:15" ht="15" customHeight="1">
      <c r="A18" s="295"/>
      <c r="B18" s="55" t="s">
        <v>95</v>
      </c>
      <c r="C18" s="88">
        <v>510</v>
      </c>
      <c r="D18" s="173">
        <f>(4.04+0.871+0.437+0.015)*1.075*1.2</f>
        <v>6.918269999999999</v>
      </c>
      <c r="E18" s="293"/>
      <c r="F18" s="310"/>
      <c r="G18" s="291"/>
      <c r="H18" s="394"/>
      <c r="I18" s="55"/>
      <c r="J18" s="56"/>
      <c r="K18" s="55"/>
      <c r="L18" s="56"/>
      <c r="M18" s="55"/>
      <c r="N18" s="56"/>
      <c r="O18" s="46"/>
    </row>
    <row r="19" spans="1:15" ht="15" customHeight="1" thickBot="1">
      <c r="A19" s="295"/>
      <c r="B19" s="55" t="s">
        <v>113</v>
      </c>
      <c r="C19" s="88">
        <v>17.25</v>
      </c>
      <c r="D19" s="175">
        <f>49.863*1.075*1.2</f>
        <v>64.32327</v>
      </c>
      <c r="E19" s="293"/>
      <c r="F19" s="310"/>
      <c r="G19" s="245">
        <v>25379</v>
      </c>
      <c r="H19" s="183">
        <v>6.91</v>
      </c>
      <c r="I19" s="55"/>
      <c r="J19" s="56"/>
      <c r="K19" s="55"/>
      <c r="L19" s="56"/>
      <c r="M19" s="55"/>
      <c r="N19" s="56"/>
      <c r="O19" s="46"/>
    </row>
    <row r="20" spans="1:15" ht="13.5" thickTop="1">
      <c r="A20" s="294" t="s">
        <v>19</v>
      </c>
      <c r="B20" s="51" t="s">
        <v>94</v>
      </c>
      <c r="C20" s="167">
        <v>1410</v>
      </c>
      <c r="D20" s="172">
        <f>(6.29+3.485+0.437+0.015)*1.075*1.2</f>
        <v>13.19283</v>
      </c>
      <c r="E20" s="292">
        <v>289</v>
      </c>
      <c r="F20" s="309">
        <v>52.47</v>
      </c>
      <c r="G20" s="290">
        <v>1098.8</v>
      </c>
      <c r="H20" s="393">
        <v>56.19</v>
      </c>
      <c r="I20" s="59"/>
      <c r="J20" s="50"/>
      <c r="K20" s="59"/>
      <c r="L20" s="50"/>
      <c r="M20" s="59"/>
      <c r="N20" s="50"/>
      <c r="O20" s="46"/>
    </row>
    <row r="21" spans="1:15" ht="12.75">
      <c r="A21" s="295"/>
      <c r="B21" s="55" t="s">
        <v>95</v>
      </c>
      <c r="C21" s="88">
        <v>390</v>
      </c>
      <c r="D21" s="173">
        <f>(4.04+0.871+0.437+0.015)*1.075*1.2</f>
        <v>6.918269999999999</v>
      </c>
      <c r="E21" s="293"/>
      <c r="F21" s="310"/>
      <c r="G21" s="291"/>
      <c r="H21" s="394"/>
      <c r="I21" s="55"/>
      <c r="J21" s="56"/>
      <c r="K21" s="55"/>
      <c r="L21" s="56"/>
      <c r="M21" s="55"/>
      <c r="N21" s="56"/>
      <c r="O21" s="46"/>
    </row>
    <row r="22" spans="1:15" ht="13.5" thickBot="1">
      <c r="A22" s="295"/>
      <c r="B22" s="55" t="s">
        <v>113</v>
      </c>
      <c r="C22" s="88">
        <v>17.25</v>
      </c>
      <c r="D22" s="175">
        <f>49.863*1.075*1.2</f>
        <v>64.32327</v>
      </c>
      <c r="E22" s="293"/>
      <c r="F22" s="310"/>
      <c r="G22" s="245">
        <v>20591</v>
      </c>
      <c r="H22" s="183">
        <v>6.91</v>
      </c>
      <c r="I22" s="55"/>
      <c r="J22" s="56"/>
      <c r="K22" s="55"/>
      <c r="L22" s="56"/>
      <c r="M22" s="55"/>
      <c r="N22" s="56"/>
      <c r="O22" s="46"/>
    </row>
    <row r="23" spans="1:15" ht="13.5" thickTop="1">
      <c r="A23" s="294" t="s">
        <v>20</v>
      </c>
      <c r="B23" s="51" t="s">
        <v>94</v>
      </c>
      <c r="C23" s="167">
        <v>1320</v>
      </c>
      <c r="D23" s="172">
        <f>(6.29+3.485+0.437+0.015)*1.075*1.2</f>
        <v>13.19283</v>
      </c>
      <c r="E23" s="292">
        <v>144</v>
      </c>
      <c r="F23" s="309">
        <v>52.47</v>
      </c>
      <c r="G23" s="290">
        <v>1098.8</v>
      </c>
      <c r="H23" s="393">
        <v>56.19</v>
      </c>
      <c r="I23" s="59"/>
      <c r="J23" s="50"/>
      <c r="K23" s="59"/>
      <c r="L23" s="50"/>
      <c r="M23" s="59"/>
      <c r="N23" s="50"/>
      <c r="O23" s="46"/>
    </row>
    <row r="24" spans="1:15" ht="12.75">
      <c r="A24" s="295"/>
      <c r="B24" s="55" t="s">
        <v>95</v>
      </c>
      <c r="C24" s="88">
        <v>330</v>
      </c>
      <c r="D24" s="173">
        <f>(4.04+0.871+0.437+0.015)*1.075*1.2</f>
        <v>6.918269999999999</v>
      </c>
      <c r="E24" s="293"/>
      <c r="F24" s="310"/>
      <c r="G24" s="291"/>
      <c r="H24" s="394"/>
      <c r="I24" s="55"/>
      <c r="J24" s="56"/>
      <c r="K24" s="55"/>
      <c r="L24" s="56"/>
      <c r="M24" s="55"/>
      <c r="N24" s="56"/>
      <c r="O24" s="46"/>
    </row>
    <row r="25" spans="1:15" ht="13.5" thickBot="1">
      <c r="A25" s="295"/>
      <c r="B25" s="55" t="s">
        <v>113</v>
      </c>
      <c r="C25" s="88">
        <v>17.25</v>
      </c>
      <c r="D25" s="175">
        <f>49.863*1.075*1.2</f>
        <v>64.32327</v>
      </c>
      <c r="E25" s="293"/>
      <c r="F25" s="310"/>
      <c r="G25" s="245">
        <v>0</v>
      </c>
      <c r="H25" s="183">
        <v>6.91</v>
      </c>
      <c r="I25" s="55"/>
      <c r="J25" s="56"/>
      <c r="K25" s="55"/>
      <c r="L25" s="56"/>
      <c r="M25" s="55"/>
      <c r="N25" s="56"/>
      <c r="O25" s="46"/>
    </row>
    <row r="26" spans="1:15" ht="13.5" thickTop="1">
      <c r="A26" s="294" t="s">
        <v>68</v>
      </c>
      <c r="B26" s="51" t="s">
        <v>94</v>
      </c>
      <c r="C26" s="167">
        <v>1020</v>
      </c>
      <c r="D26" s="172">
        <f>(6.29+3.485+0.437+0.015)*1.075*1.2</f>
        <v>13.19283</v>
      </c>
      <c r="E26" s="292">
        <v>110</v>
      </c>
      <c r="F26" s="309">
        <v>52.47</v>
      </c>
      <c r="G26" s="290">
        <v>1098.8</v>
      </c>
      <c r="H26" s="393">
        <v>56.19</v>
      </c>
      <c r="I26" s="59"/>
      <c r="J26" s="50"/>
      <c r="K26" s="59"/>
      <c r="L26" s="50"/>
      <c r="M26" s="59"/>
      <c r="N26" s="50"/>
      <c r="O26" s="46"/>
    </row>
    <row r="27" spans="1:15" ht="12.75">
      <c r="A27" s="295"/>
      <c r="B27" s="55" t="s">
        <v>95</v>
      </c>
      <c r="C27" s="88">
        <v>180</v>
      </c>
      <c r="D27" s="173">
        <f>(4.04+0.871+0.437+0.015)*1.075*1.2</f>
        <v>6.918269999999999</v>
      </c>
      <c r="E27" s="293"/>
      <c r="F27" s="310"/>
      <c r="G27" s="291"/>
      <c r="H27" s="394"/>
      <c r="I27" s="55"/>
      <c r="J27" s="56"/>
      <c r="K27" s="55"/>
      <c r="L27" s="56"/>
      <c r="M27" s="55"/>
      <c r="N27" s="56"/>
      <c r="O27" s="46"/>
    </row>
    <row r="28" spans="1:15" ht="13.5" thickBot="1">
      <c r="A28" s="295"/>
      <c r="B28" s="55" t="s">
        <v>113</v>
      </c>
      <c r="C28" s="88">
        <v>17.25</v>
      </c>
      <c r="D28" s="175">
        <f>49.863*1.075*1.2</f>
        <v>64.32327</v>
      </c>
      <c r="E28" s="293"/>
      <c r="F28" s="310"/>
      <c r="G28" s="245">
        <v>0</v>
      </c>
      <c r="H28" s="183">
        <v>6.91</v>
      </c>
      <c r="I28" s="55"/>
      <c r="J28" s="56"/>
      <c r="K28" s="55"/>
      <c r="L28" s="56"/>
      <c r="M28" s="55"/>
      <c r="N28" s="56"/>
      <c r="O28" s="46"/>
    </row>
    <row r="29" spans="1:15" ht="13.5" thickTop="1">
      <c r="A29" s="294" t="s">
        <v>69</v>
      </c>
      <c r="B29" s="51" t="s">
        <v>94</v>
      </c>
      <c r="C29" s="167">
        <v>930</v>
      </c>
      <c r="D29" s="172">
        <f>(6.29+3.485+0.437+0.015)*1.075*1.2</f>
        <v>13.19283</v>
      </c>
      <c r="E29" s="292">
        <v>100</v>
      </c>
      <c r="F29" s="309">
        <v>52.47</v>
      </c>
      <c r="G29" s="290">
        <v>1098.8</v>
      </c>
      <c r="H29" s="393">
        <v>56.19</v>
      </c>
      <c r="I29" s="59"/>
      <c r="J29" s="50"/>
      <c r="K29" s="59"/>
      <c r="L29" s="50"/>
      <c r="M29" s="59"/>
      <c r="N29" s="50"/>
      <c r="O29" s="46"/>
    </row>
    <row r="30" spans="1:15" ht="12.75">
      <c r="A30" s="295"/>
      <c r="B30" s="55" t="s">
        <v>95</v>
      </c>
      <c r="C30" s="88">
        <v>180</v>
      </c>
      <c r="D30" s="173">
        <f>(4.04+0.871+0.437+0.015)*1.075*1.2</f>
        <v>6.918269999999999</v>
      </c>
      <c r="E30" s="293"/>
      <c r="F30" s="310"/>
      <c r="G30" s="291"/>
      <c r="H30" s="394"/>
      <c r="I30" s="55"/>
      <c r="J30" s="56"/>
      <c r="K30" s="55"/>
      <c r="L30" s="56"/>
      <c r="M30" s="55"/>
      <c r="N30" s="56"/>
      <c r="O30" s="46"/>
    </row>
    <row r="31" spans="1:15" ht="13.5" thickBot="1">
      <c r="A31" s="295"/>
      <c r="B31" s="55" t="s">
        <v>113</v>
      </c>
      <c r="C31" s="88">
        <v>17.25</v>
      </c>
      <c r="D31" s="175">
        <f>49.863*1.075*1.2</f>
        <v>64.32327</v>
      </c>
      <c r="E31" s="293"/>
      <c r="F31" s="310"/>
      <c r="G31" s="245">
        <v>0</v>
      </c>
      <c r="H31" s="183">
        <v>6.91</v>
      </c>
      <c r="I31" s="55"/>
      <c r="J31" s="56"/>
      <c r="K31" s="55"/>
      <c r="L31" s="56"/>
      <c r="M31" s="55"/>
      <c r="N31" s="56"/>
      <c r="O31" s="46"/>
    </row>
    <row r="32" spans="1:15" ht="13.5" thickTop="1">
      <c r="A32" s="294" t="s">
        <v>22</v>
      </c>
      <c r="B32" s="51" t="s">
        <v>94</v>
      </c>
      <c r="C32" s="167">
        <v>900</v>
      </c>
      <c r="D32" s="172">
        <f>(6.29+3.485+0.437+0.015)*1.075*1.2</f>
        <v>13.19283</v>
      </c>
      <c r="E32" s="292">
        <v>230</v>
      </c>
      <c r="F32" s="309">
        <v>52.47</v>
      </c>
      <c r="G32" s="290">
        <v>1098.8</v>
      </c>
      <c r="H32" s="393">
        <v>56.19</v>
      </c>
      <c r="I32" s="57"/>
      <c r="J32" s="58"/>
      <c r="K32" s="57"/>
      <c r="L32" s="58"/>
      <c r="M32" s="57"/>
      <c r="N32" s="58"/>
      <c r="O32" s="46"/>
    </row>
    <row r="33" spans="1:15" ht="12.75">
      <c r="A33" s="295"/>
      <c r="B33" s="55" t="s">
        <v>95</v>
      </c>
      <c r="C33" s="88">
        <v>210</v>
      </c>
      <c r="D33" s="173">
        <f>(4.04+0.871+0.437+0.015)*1.075*1.2</f>
        <v>6.918269999999999</v>
      </c>
      <c r="E33" s="293"/>
      <c r="F33" s="310"/>
      <c r="G33" s="291"/>
      <c r="H33" s="394"/>
      <c r="I33" s="57"/>
      <c r="J33" s="58"/>
      <c r="K33" s="57"/>
      <c r="L33" s="58"/>
      <c r="M33" s="57"/>
      <c r="N33" s="58"/>
      <c r="O33" s="46"/>
    </row>
    <row r="34" spans="1:15" ht="13.5" thickBot="1">
      <c r="A34" s="295"/>
      <c r="B34" s="55" t="s">
        <v>113</v>
      </c>
      <c r="C34" s="88">
        <v>17.25</v>
      </c>
      <c r="D34" s="175">
        <f>49.863*1.075*1.2</f>
        <v>64.32327</v>
      </c>
      <c r="E34" s="293"/>
      <c r="F34" s="310"/>
      <c r="G34" s="245">
        <v>0</v>
      </c>
      <c r="H34" s="183">
        <v>6.91</v>
      </c>
      <c r="I34" s="57"/>
      <c r="J34" s="58"/>
      <c r="K34" s="57"/>
      <c r="L34" s="58"/>
      <c r="M34" s="57"/>
      <c r="N34" s="58"/>
      <c r="O34" s="46"/>
    </row>
    <row r="35" spans="1:15" ht="13.5" thickTop="1">
      <c r="A35" s="294" t="s">
        <v>23</v>
      </c>
      <c r="B35" s="51" t="s">
        <v>94</v>
      </c>
      <c r="C35" s="167">
        <v>1350</v>
      </c>
      <c r="D35" s="172">
        <f>(9.7+3.485+0.437+0.015)*1.075*1.2</f>
        <v>17.59173</v>
      </c>
      <c r="E35" s="292">
        <v>0</v>
      </c>
      <c r="F35" s="309">
        <v>58.17</v>
      </c>
      <c r="G35" s="290">
        <v>1098.8</v>
      </c>
      <c r="H35" s="393">
        <v>56.19</v>
      </c>
      <c r="I35" s="60"/>
      <c r="J35" s="61"/>
      <c r="K35" s="60"/>
      <c r="L35" s="61"/>
      <c r="M35" s="60"/>
      <c r="N35" s="61"/>
      <c r="O35" s="46"/>
    </row>
    <row r="36" spans="1:15" ht="12.75">
      <c r="A36" s="295"/>
      <c r="B36" s="55" t="s">
        <v>95</v>
      </c>
      <c r="C36" s="88">
        <v>270</v>
      </c>
      <c r="D36" s="173">
        <f>(6.15+0.871+0.437+0.015)*1.075*1.2</f>
        <v>9.640170000000001</v>
      </c>
      <c r="E36" s="293"/>
      <c r="F36" s="310"/>
      <c r="G36" s="291"/>
      <c r="H36" s="394"/>
      <c r="I36" s="60"/>
      <c r="J36" s="61"/>
      <c r="K36" s="60"/>
      <c r="L36" s="61"/>
      <c r="M36" s="60"/>
      <c r="N36" s="61"/>
      <c r="O36" s="46"/>
    </row>
    <row r="37" spans="1:15" ht="13.5" thickBot="1">
      <c r="A37" s="295"/>
      <c r="B37" s="55" t="s">
        <v>113</v>
      </c>
      <c r="C37" s="88">
        <v>17.25</v>
      </c>
      <c r="D37" s="175">
        <f>49.863*1.075*1.2</f>
        <v>64.32327</v>
      </c>
      <c r="E37" s="293"/>
      <c r="F37" s="310"/>
      <c r="G37" s="245">
        <v>0</v>
      </c>
      <c r="H37" s="183">
        <v>6.91</v>
      </c>
      <c r="I37" s="60"/>
      <c r="J37" s="61"/>
      <c r="K37" s="60"/>
      <c r="L37" s="61"/>
      <c r="M37" s="60"/>
      <c r="N37" s="61"/>
      <c r="O37" s="46"/>
    </row>
    <row r="38" spans="1:15" ht="13.5" thickTop="1">
      <c r="A38" s="294" t="s">
        <v>24</v>
      </c>
      <c r="B38" s="51" t="s">
        <v>94</v>
      </c>
      <c r="C38" s="167">
        <v>2160</v>
      </c>
      <c r="D38" s="172">
        <f>(9.7+3.879+0.437+0.015)*1.075*1.2</f>
        <v>18.09999</v>
      </c>
      <c r="E38" s="292">
        <v>160</v>
      </c>
      <c r="F38" s="309">
        <v>58.17</v>
      </c>
      <c r="G38" s="290">
        <v>1098.8</v>
      </c>
      <c r="H38" s="393">
        <v>56.19</v>
      </c>
      <c r="I38" s="60"/>
      <c r="J38" s="61"/>
      <c r="K38" s="60"/>
      <c r="L38" s="61"/>
      <c r="M38" s="60"/>
      <c r="N38" s="61"/>
      <c r="O38" s="46"/>
    </row>
    <row r="39" spans="1:15" ht="12.75">
      <c r="A39" s="295"/>
      <c r="B39" s="55" t="s">
        <v>95</v>
      </c>
      <c r="C39" s="88">
        <v>450</v>
      </c>
      <c r="D39" s="173">
        <f>(6.15+0.97+0.437+0.015)*1.075*1.2</f>
        <v>9.767879999999998</v>
      </c>
      <c r="E39" s="293"/>
      <c r="F39" s="310"/>
      <c r="G39" s="291"/>
      <c r="H39" s="394"/>
      <c r="I39" s="60"/>
      <c r="J39" s="61"/>
      <c r="K39" s="60"/>
      <c r="L39" s="61"/>
      <c r="M39" s="60"/>
      <c r="N39" s="61"/>
      <c r="O39" s="46"/>
    </row>
    <row r="40" spans="1:15" ht="13.5" thickBot="1">
      <c r="A40" s="295"/>
      <c r="B40" s="55" t="s">
        <v>113</v>
      </c>
      <c r="C40" s="88">
        <v>17.25</v>
      </c>
      <c r="D40" s="175">
        <f>54.258*1.075*1.2</f>
        <v>69.99282</v>
      </c>
      <c r="E40" s="293"/>
      <c r="F40" s="310"/>
      <c r="G40" s="245">
        <v>12968</v>
      </c>
      <c r="H40" s="183">
        <v>6.91</v>
      </c>
      <c r="I40" s="60"/>
      <c r="J40" s="61"/>
      <c r="K40" s="60"/>
      <c r="L40" s="61"/>
      <c r="M40" s="60"/>
      <c r="N40" s="61"/>
      <c r="O40" s="46"/>
    </row>
    <row r="41" spans="1:15" ht="13.5" thickTop="1">
      <c r="A41" s="294" t="s">
        <v>25</v>
      </c>
      <c r="B41" s="51" t="s">
        <v>94</v>
      </c>
      <c r="C41" s="167">
        <v>2070</v>
      </c>
      <c r="D41" s="172">
        <f>(9.7+3.879+0.437+0.015)*1.075*1.2</f>
        <v>18.09999</v>
      </c>
      <c r="E41" s="292">
        <v>0</v>
      </c>
      <c r="F41" s="309">
        <v>58.17</v>
      </c>
      <c r="G41" s="290">
        <v>1098.8</v>
      </c>
      <c r="H41" s="393">
        <v>56.19</v>
      </c>
      <c r="I41" s="60"/>
      <c r="J41" s="61"/>
      <c r="K41" s="60"/>
      <c r="L41" s="61"/>
      <c r="M41" s="60"/>
      <c r="N41" s="61"/>
      <c r="O41" s="46"/>
    </row>
    <row r="42" spans="1:15" ht="12.75">
      <c r="A42" s="295"/>
      <c r="B42" s="55" t="s">
        <v>95</v>
      </c>
      <c r="C42" s="88">
        <v>360</v>
      </c>
      <c r="D42" s="173">
        <f>(6.15+0.97+0.437+0.015)*1.075*1.2</f>
        <v>9.767879999999998</v>
      </c>
      <c r="E42" s="293"/>
      <c r="F42" s="310"/>
      <c r="G42" s="291"/>
      <c r="H42" s="394"/>
      <c r="I42" s="60"/>
      <c r="J42" s="61"/>
      <c r="K42" s="60"/>
      <c r="L42" s="61"/>
      <c r="M42" s="60"/>
      <c r="N42" s="61"/>
      <c r="O42" s="46"/>
    </row>
    <row r="43" spans="1:15" ht="13.5" thickBot="1">
      <c r="A43" s="295"/>
      <c r="B43" s="55" t="s">
        <v>113</v>
      </c>
      <c r="C43" s="88">
        <v>17.25</v>
      </c>
      <c r="D43" s="175">
        <f>54.258*1.075*1.2</f>
        <v>69.99282</v>
      </c>
      <c r="E43" s="293"/>
      <c r="F43" s="310"/>
      <c r="G43" s="245">
        <v>26267</v>
      </c>
      <c r="H43" s="183">
        <v>6.91</v>
      </c>
      <c r="I43" s="59"/>
      <c r="J43" s="50"/>
      <c r="K43" s="59"/>
      <c r="L43" s="50"/>
      <c r="M43" s="59"/>
      <c r="N43" s="50"/>
      <c r="O43" s="46"/>
    </row>
    <row r="44" spans="1:15" ht="13.5" thickTop="1">
      <c r="A44" s="396" t="s">
        <v>26</v>
      </c>
      <c r="B44" s="51" t="s">
        <v>94</v>
      </c>
      <c r="C44" s="167">
        <v>2400</v>
      </c>
      <c r="D44" s="172">
        <f>(9.7+3.879+0.437+0.015)*1.075*1.2</f>
        <v>18.09999</v>
      </c>
      <c r="E44" s="397">
        <v>69</v>
      </c>
      <c r="F44" s="398">
        <v>58.17</v>
      </c>
      <c r="G44" s="290">
        <v>1098.8</v>
      </c>
      <c r="H44" s="393">
        <v>56.19</v>
      </c>
      <c r="I44" s="141"/>
      <c r="J44" s="141"/>
      <c r="K44" s="141"/>
      <c r="L44" s="141"/>
      <c r="M44" s="141"/>
      <c r="N44" s="141"/>
      <c r="O44" s="46"/>
    </row>
    <row r="45" spans="1:15" ht="12.75">
      <c r="A45" s="396"/>
      <c r="B45" s="55" t="s">
        <v>95</v>
      </c>
      <c r="C45" s="88">
        <v>360</v>
      </c>
      <c r="D45" s="173">
        <f>(6.15+0.97+0.437+0.015)*1.075*1.2</f>
        <v>9.767879999999998</v>
      </c>
      <c r="E45" s="397"/>
      <c r="F45" s="398"/>
      <c r="G45" s="291"/>
      <c r="H45" s="394"/>
      <c r="I45" s="141"/>
      <c r="J45" s="141"/>
      <c r="K45" s="141"/>
      <c r="L45" s="141"/>
      <c r="M45" s="141"/>
      <c r="N45" s="141"/>
      <c r="O45" s="46"/>
    </row>
    <row r="46" spans="1:15" ht="13.5" thickBot="1">
      <c r="A46" s="396"/>
      <c r="B46" s="55" t="s">
        <v>113</v>
      </c>
      <c r="C46" s="88">
        <v>17.25</v>
      </c>
      <c r="D46" s="175">
        <f>54.258*1.075*1.2</f>
        <v>69.99282</v>
      </c>
      <c r="E46" s="397"/>
      <c r="F46" s="398"/>
      <c r="G46" s="257">
        <v>33845</v>
      </c>
      <c r="H46" s="183">
        <v>6.91</v>
      </c>
      <c r="I46" s="141"/>
      <c r="J46" s="141"/>
      <c r="K46" s="141"/>
      <c r="L46" s="141"/>
      <c r="M46" s="141"/>
      <c r="N46" s="141"/>
      <c r="O46" s="46"/>
    </row>
    <row r="47" spans="1:15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6"/>
    </row>
    <row r="48" spans="1:14" s="27" customFormat="1" ht="12.75">
      <c r="A48" s="347" t="s">
        <v>32</v>
      </c>
      <c r="B48" s="347"/>
      <c r="C48" s="347"/>
      <c r="D48" s="348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47" t="s">
        <v>35</v>
      </c>
      <c r="C50" s="347"/>
      <c r="D50" s="347"/>
      <c r="E50" s="348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47" t="s">
        <v>34</v>
      </c>
      <c r="C51" s="347"/>
      <c r="D51" s="347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="27" customFormat="1" ht="12.75"/>
  </sheetData>
  <sheetProtection/>
  <mergeCells count="79"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F41:F43"/>
    <mergeCell ref="G41:G42"/>
    <mergeCell ref="G38:G39"/>
    <mergeCell ref="A38:A40"/>
    <mergeCell ref="E38:E40"/>
    <mergeCell ref="A17:A19"/>
    <mergeCell ref="E17:E19"/>
    <mergeCell ref="F17:F19"/>
    <mergeCell ref="A20:A22"/>
    <mergeCell ref="E20:E22"/>
    <mergeCell ref="F20:F22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F26:F28"/>
    <mergeCell ref="G26:G27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2">
      <selection activeCell="E48" sqref="E48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44" t="s">
        <v>41</v>
      </c>
      <c r="B1" s="45" t="s">
        <v>43</v>
      </c>
      <c r="C1" s="45"/>
      <c r="D1" s="47"/>
      <c r="E1" s="47">
        <v>50668</v>
      </c>
      <c r="F1" s="47"/>
      <c r="G1" s="47"/>
      <c r="H1" s="47"/>
      <c r="I1" s="384" t="s">
        <v>29</v>
      </c>
      <c r="J1" s="384"/>
      <c r="K1" s="384"/>
      <c r="L1" s="48">
        <v>1101</v>
      </c>
      <c r="M1" s="49"/>
      <c r="N1" s="49"/>
      <c r="O1" s="46"/>
    </row>
    <row r="2" spans="1:15" ht="12.75">
      <c r="A2" s="45" t="s">
        <v>1</v>
      </c>
      <c r="B2" s="45" t="s">
        <v>55</v>
      </c>
      <c r="C2" s="45"/>
      <c r="D2" s="47"/>
      <c r="E2" s="47">
        <v>50669</v>
      </c>
      <c r="F2" s="47"/>
      <c r="G2" s="47"/>
      <c r="H2" s="47"/>
      <c r="I2" s="384" t="s">
        <v>2</v>
      </c>
      <c r="J2" s="384"/>
      <c r="K2" s="384"/>
      <c r="L2" s="47">
        <v>8</v>
      </c>
      <c r="M2" s="49"/>
      <c r="N2" s="49"/>
      <c r="O2" s="46"/>
    </row>
    <row r="3" spans="1:15" ht="12.75">
      <c r="A3" s="45" t="s">
        <v>0</v>
      </c>
      <c r="B3" s="45" t="s">
        <v>38</v>
      </c>
      <c r="C3" s="45"/>
      <c r="D3" s="47"/>
      <c r="E3" s="47"/>
      <c r="F3" s="47"/>
      <c r="G3" s="47"/>
      <c r="H3" s="47"/>
      <c r="I3" s="384" t="s">
        <v>3</v>
      </c>
      <c r="J3" s="384"/>
      <c r="K3" s="384"/>
      <c r="L3" s="47">
        <v>1</v>
      </c>
      <c r="M3" s="49"/>
      <c r="N3" s="49"/>
      <c r="O3" s="46"/>
    </row>
    <row r="4" spans="1:15" ht="12.75">
      <c r="A4" s="45" t="s">
        <v>4</v>
      </c>
      <c r="B4" s="45">
        <v>189</v>
      </c>
      <c r="C4" s="45"/>
      <c r="D4" s="47"/>
      <c r="E4" s="47"/>
      <c r="F4" s="47"/>
      <c r="G4" s="47"/>
      <c r="H4" s="47"/>
      <c r="I4" s="45" t="s">
        <v>31</v>
      </c>
      <c r="J4" s="45"/>
      <c r="K4" s="45"/>
      <c r="L4" s="45" t="s">
        <v>62</v>
      </c>
      <c r="M4" s="47"/>
      <c r="N4" s="47"/>
      <c r="O4" s="47"/>
    </row>
    <row r="5" spans="1:15" ht="13.5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 t="s">
        <v>65</v>
      </c>
      <c r="M5" s="49"/>
      <c r="N5" s="49"/>
      <c r="O5" s="46"/>
    </row>
    <row r="6" spans="1:15" ht="12.75" customHeight="1" thickTop="1">
      <c r="A6" s="385" t="s">
        <v>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  <c r="O6" s="46"/>
    </row>
    <row r="7" spans="1:15" ht="12.75" customHeight="1" thickBot="1">
      <c r="A7" s="388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90"/>
      <c r="O7" s="46"/>
    </row>
    <row r="8" spans="1:15" ht="15" customHeight="1" thickBot="1" thickTop="1">
      <c r="A8" s="282" t="s">
        <v>6</v>
      </c>
      <c r="B8" s="274" t="s">
        <v>7</v>
      </c>
      <c r="C8" s="275"/>
      <c r="D8" s="276"/>
      <c r="E8" s="274" t="s">
        <v>11</v>
      </c>
      <c r="F8" s="276"/>
      <c r="G8" s="284" t="s">
        <v>15</v>
      </c>
      <c r="H8" s="285"/>
      <c r="I8" s="285"/>
      <c r="J8" s="285"/>
      <c r="K8" s="285"/>
      <c r="L8" s="285"/>
      <c r="M8" s="285"/>
      <c r="N8" s="309"/>
      <c r="O8" s="46"/>
    </row>
    <row r="9" spans="1:15" ht="12.75" customHeight="1" thickTop="1">
      <c r="A9" s="295"/>
      <c r="B9" s="277" t="s">
        <v>8</v>
      </c>
      <c r="C9" s="278"/>
      <c r="D9" s="286" t="s">
        <v>9</v>
      </c>
      <c r="E9" s="287" t="s">
        <v>67</v>
      </c>
      <c r="F9" s="286" t="s">
        <v>9</v>
      </c>
      <c r="G9" s="280" t="s">
        <v>27</v>
      </c>
      <c r="H9" s="281"/>
      <c r="I9" s="280" t="s">
        <v>28</v>
      </c>
      <c r="J9" s="281"/>
      <c r="K9" s="280" t="s">
        <v>13</v>
      </c>
      <c r="L9" s="281"/>
      <c r="M9" s="280" t="s">
        <v>14</v>
      </c>
      <c r="N9" s="281"/>
      <c r="O9" s="46"/>
    </row>
    <row r="10" spans="1:15" ht="12.75" customHeight="1" thickBot="1">
      <c r="A10" s="283"/>
      <c r="B10" s="416"/>
      <c r="C10" s="417"/>
      <c r="D10" s="289"/>
      <c r="E10" s="288"/>
      <c r="F10" s="289"/>
      <c r="G10" s="11" t="s">
        <v>114</v>
      </c>
      <c r="H10" s="53" t="s">
        <v>9</v>
      </c>
      <c r="I10" s="54" t="s">
        <v>12</v>
      </c>
      <c r="J10" s="53" t="s">
        <v>9</v>
      </c>
      <c r="K10" s="54" t="s">
        <v>67</v>
      </c>
      <c r="L10" s="53" t="s">
        <v>9</v>
      </c>
      <c r="M10" s="54" t="s">
        <v>30</v>
      </c>
      <c r="N10" s="53" t="s">
        <v>9</v>
      </c>
      <c r="O10" s="46"/>
    </row>
    <row r="11" spans="1:15" ht="15.75" customHeight="1" thickTop="1">
      <c r="A11" s="411" t="s">
        <v>16</v>
      </c>
      <c r="B11" s="51" t="s">
        <v>94</v>
      </c>
      <c r="C11" s="271">
        <v>4860</v>
      </c>
      <c r="D11" s="172">
        <f>(6.29+3.187+0.437+0.015)*1.075*1.2</f>
        <v>12.808409999999999</v>
      </c>
      <c r="E11" s="415">
        <f>106+6</f>
        <v>112</v>
      </c>
      <c r="F11" s="423">
        <v>52.47</v>
      </c>
      <c r="G11" s="177">
        <v>1057.14</v>
      </c>
      <c r="H11" s="178">
        <v>56.19</v>
      </c>
      <c r="I11" s="55"/>
      <c r="J11" s="56"/>
      <c r="K11" s="55"/>
      <c r="L11" s="56"/>
      <c r="M11" s="55"/>
      <c r="N11" s="56"/>
      <c r="O11" s="46"/>
    </row>
    <row r="12" spans="1:15" ht="15" customHeight="1">
      <c r="A12" s="412"/>
      <c r="B12" s="55" t="s">
        <v>95</v>
      </c>
      <c r="C12" s="78">
        <v>0</v>
      </c>
      <c r="D12" s="173">
        <f>(4.04+0.797+0.437+0.015)*1.075*1.2</f>
        <v>6.82281</v>
      </c>
      <c r="E12" s="402"/>
      <c r="F12" s="404"/>
      <c r="G12" s="418">
        <v>23920</v>
      </c>
      <c r="H12" s="404">
        <v>6.91</v>
      </c>
      <c r="I12" s="55"/>
      <c r="J12" s="56"/>
      <c r="K12" s="55"/>
      <c r="L12" s="56"/>
      <c r="M12" s="55"/>
      <c r="N12" s="56"/>
      <c r="O12" s="46"/>
    </row>
    <row r="13" spans="1:15" ht="15" customHeight="1" thickBot="1">
      <c r="A13" s="412"/>
      <c r="B13" s="55" t="s">
        <v>113</v>
      </c>
      <c r="C13" s="87">
        <v>17.25</v>
      </c>
      <c r="D13" s="175">
        <f>49.291*1.075*1.2</f>
        <v>63.58538999999999</v>
      </c>
      <c r="E13" s="402"/>
      <c r="F13" s="404"/>
      <c r="G13" s="419"/>
      <c r="H13" s="420"/>
      <c r="I13" s="55"/>
      <c r="J13" s="56"/>
      <c r="K13" s="55"/>
      <c r="L13" s="56"/>
      <c r="M13" s="55"/>
      <c r="N13" s="56"/>
      <c r="O13" s="46"/>
    </row>
    <row r="14" spans="1:15" ht="15.75" customHeight="1" thickTop="1">
      <c r="A14" s="412" t="s">
        <v>17</v>
      </c>
      <c r="B14" s="51" t="s">
        <v>94</v>
      </c>
      <c r="C14" s="176">
        <v>4770</v>
      </c>
      <c r="D14" s="172">
        <f>(6.29+3.485+0.437+0.015)*1.075*1.2</f>
        <v>13.19283</v>
      </c>
      <c r="E14" s="395">
        <f>107+10</f>
        <v>117</v>
      </c>
      <c r="F14" s="403">
        <v>52.47</v>
      </c>
      <c r="G14" s="177">
        <v>1057.14</v>
      </c>
      <c r="H14" s="178">
        <v>56.19</v>
      </c>
      <c r="I14" s="55"/>
      <c r="J14" s="56"/>
      <c r="K14" s="55"/>
      <c r="L14" s="56"/>
      <c r="M14" s="55"/>
      <c r="N14" s="56"/>
      <c r="O14" s="46"/>
    </row>
    <row r="15" spans="1:15" ht="15" customHeight="1">
      <c r="A15" s="412"/>
      <c r="B15" s="55" t="s">
        <v>95</v>
      </c>
      <c r="C15" s="169">
        <v>0</v>
      </c>
      <c r="D15" s="173">
        <f>(4.04+0.871+0.437+0.015)*1.075*1.2</f>
        <v>6.918269999999999</v>
      </c>
      <c r="E15" s="312"/>
      <c r="F15" s="404"/>
      <c r="G15" s="418">
        <v>23910</v>
      </c>
      <c r="H15" s="404">
        <v>6.91</v>
      </c>
      <c r="I15" s="55"/>
      <c r="J15" s="56"/>
      <c r="K15" s="55"/>
      <c r="L15" s="56"/>
      <c r="M15" s="55"/>
      <c r="N15" s="56"/>
      <c r="O15" s="46"/>
    </row>
    <row r="16" spans="1:15" ht="15" customHeight="1" thickBot="1">
      <c r="A16" s="412"/>
      <c r="B16" s="55" t="s">
        <v>113</v>
      </c>
      <c r="C16" s="168">
        <v>17.25</v>
      </c>
      <c r="D16" s="175">
        <f>49.863*1.075*1.2</f>
        <v>64.32327</v>
      </c>
      <c r="E16" s="312"/>
      <c r="F16" s="404"/>
      <c r="G16" s="419"/>
      <c r="H16" s="420"/>
      <c r="I16" s="55"/>
      <c r="J16" s="56"/>
      <c r="K16" s="55"/>
      <c r="L16" s="56"/>
      <c r="M16" s="55"/>
      <c r="N16" s="56"/>
      <c r="O16" s="46"/>
    </row>
    <row r="17" spans="1:15" ht="13.5" thickTop="1">
      <c r="A17" s="412" t="s">
        <v>18</v>
      </c>
      <c r="B17" s="51" t="s">
        <v>94</v>
      </c>
      <c r="C17" s="176">
        <v>0</v>
      </c>
      <c r="D17" s="172">
        <f>(6.29+3.485+0.437+0.015)*1.075*1.2</f>
        <v>13.19283</v>
      </c>
      <c r="E17" s="401">
        <f>118+15</f>
        <v>133</v>
      </c>
      <c r="F17" s="403">
        <v>52.47</v>
      </c>
      <c r="G17" s="177">
        <v>1057.14</v>
      </c>
      <c r="H17" s="178">
        <v>56.19</v>
      </c>
      <c r="I17" s="55"/>
      <c r="J17" s="56"/>
      <c r="K17" s="55"/>
      <c r="L17" s="56"/>
      <c r="M17" s="55"/>
      <c r="N17" s="56"/>
      <c r="O17" s="46"/>
    </row>
    <row r="18" spans="1:15" ht="12.75">
      <c r="A18" s="412"/>
      <c r="B18" s="55" t="s">
        <v>95</v>
      </c>
      <c r="C18" s="169">
        <v>0</v>
      </c>
      <c r="D18" s="173">
        <f>(4.04+0.871+0.437+0.015)*1.075*1.2</f>
        <v>6.918269999999999</v>
      </c>
      <c r="E18" s="402"/>
      <c r="F18" s="404"/>
      <c r="G18" s="421">
        <v>27720</v>
      </c>
      <c r="H18" s="404">
        <v>6.91</v>
      </c>
      <c r="I18" s="55"/>
      <c r="J18" s="56"/>
      <c r="K18" s="55"/>
      <c r="L18" s="56"/>
      <c r="M18" s="55"/>
      <c r="N18" s="56"/>
      <c r="O18" s="46"/>
    </row>
    <row r="19" spans="1:15" ht="13.5" thickBot="1">
      <c r="A19" s="412"/>
      <c r="B19" s="55" t="s">
        <v>113</v>
      </c>
      <c r="C19" s="168">
        <v>17.25</v>
      </c>
      <c r="D19" s="175">
        <f>49.863*1.075*1.2</f>
        <v>64.32327</v>
      </c>
      <c r="E19" s="402"/>
      <c r="F19" s="404"/>
      <c r="G19" s="422"/>
      <c r="H19" s="420"/>
      <c r="I19" s="55"/>
      <c r="J19" s="56"/>
      <c r="K19" s="55"/>
      <c r="L19" s="56"/>
      <c r="M19" s="55"/>
      <c r="N19" s="56"/>
      <c r="O19" s="46"/>
    </row>
    <row r="20" spans="1:15" ht="13.5" thickTop="1">
      <c r="A20" s="412" t="s">
        <v>19</v>
      </c>
      <c r="B20" s="51" t="s">
        <v>94</v>
      </c>
      <c r="C20" s="176">
        <v>9510</v>
      </c>
      <c r="D20" s="172">
        <f>(6.29+3.485+0.437+0.015)*1.075*1.2</f>
        <v>13.19283</v>
      </c>
      <c r="E20" s="401">
        <f>151+22</f>
        <v>173</v>
      </c>
      <c r="F20" s="403">
        <v>52.47</v>
      </c>
      <c r="G20" s="177">
        <v>1057.14</v>
      </c>
      <c r="H20" s="178">
        <v>56.19</v>
      </c>
      <c r="I20" s="55"/>
      <c r="J20" s="56"/>
      <c r="K20" s="55"/>
      <c r="L20" s="56"/>
      <c r="M20" s="55"/>
      <c r="N20" s="56"/>
      <c r="O20" s="46"/>
    </row>
    <row r="21" spans="1:15" ht="12.75">
      <c r="A21" s="412"/>
      <c r="B21" s="55" t="s">
        <v>95</v>
      </c>
      <c r="C21" s="169">
        <v>0</v>
      </c>
      <c r="D21" s="173">
        <f>(4.04+0.871+0.437+0.015)*1.075*1.2</f>
        <v>6.918269999999999</v>
      </c>
      <c r="E21" s="402"/>
      <c r="F21" s="404"/>
      <c r="G21" s="421">
        <v>20650</v>
      </c>
      <c r="H21" s="404">
        <v>6.91</v>
      </c>
      <c r="I21" s="55"/>
      <c r="J21" s="56"/>
      <c r="K21" s="55"/>
      <c r="L21" s="56"/>
      <c r="M21" s="55"/>
      <c r="N21" s="56"/>
      <c r="O21" s="46"/>
    </row>
    <row r="22" spans="1:15" ht="13.5" thickBot="1">
      <c r="A22" s="412"/>
      <c r="B22" s="55" t="s">
        <v>113</v>
      </c>
      <c r="C22" s="168">
        <v>17.25</v>
      </c>
      <c r="D22" s="175">
        <f>49.863*1.075*1.2</f>
        <v>64.32327</v>
      </c>
      <c r="E22" s="402"/>
      <c r="F22" s="404"/>
      <c r="G22" s="422"/>
      <c r="H22" s="420"/>
      <c r="I22" s="55"/>
      <c r="J22" s="56"/>
      <c r="K22" s="55"/>
      <c r="L22" s="56"/>
      <c r="M22" s="55"/>
      <c r="N22" s="56"/>
      <c r="O22" s="46"/>
    </row>
    <row r="23" spans="1:15" ht="13.5" thickTop="1">
      <c r="A23" s="294" t="s">
        <v>20</v>
      </c>
      <c r="B23" s="51" t="s">
        <v>94</v>
      </c>
      <c r="C23" s="176">
        <v>6540</v>
      </c>
      <c r="D23" s="172">
        <f>(6.29+3.485+0.437+0.015)*1.075*1.2</f>
        <v>13.19283</v>
      </c>
      <c r="E23" s="401">
        <f>113+20</f>
        <v>133</v>
      </c>
      <c r="F23" s="403">
        <v>52.47</v>
      </c>
      <c r="G23" s="177">
        <v>1057.14</v>
      </c>
      <c r="H23" s="178">
        <v>56.19</v>
      </c>
      <c r="I23" s="59"/>
      <c r="J23" s="50"/>
      <c r="K23" s="59"/>
      <c r="L23" s="50"/>
      <c r="M23" s="59"/>
      <c r="N23" s="50"/>
      <c r="O23" s="46"/>
    </row>
    <row r="24" spans="1:15" ht="12.75">
      <c r="A24" s="295"/>
      <c r="B24" s="55" t="s">
        <v>95</v>
      </c>
      <c r="C24" s="169">
        <v>0</v>
      </c>
      <c r="D24" s="173">
        <f>(4.04+0.871+0.437+0.015)*1.075*1.2</f>
        <v>6.918269999999999</v>
      </c>
      <c r="E24" s="402"/>
      <c r="F24" s="404"/>
      <c r="G24" s="421">
        <v>0</v>
      </c>
      <c r="H24" s="404">
        <v>6.91</v>
      </c>
      <c r="I24" s="55"/>
      <c r="J24" s="56"/>
      <c r="K24" s="55"/>
      <c r="L24" s="56"/>
      <c r="M24" s="55"/>
      <c r="N24" s="56"/>
      <c r="O24" s="46"/>
    </row>
    <row r="25" spans="1:15" ht="13.5" thickBot="1">
      <c r="A25" s="295"/>
      <c r="B25" s="55" t="s">
        <v>113</v>
      </c>
      <c r="C25" s="88">
        <v>17.25</v>
      </c>
      <c r="D25" s="175">
        <f>49.863*1.075*1.2</f>
        <v>64.32327</v>
      </c>
      <c r="E25" s="402"/>
      <c r="F25" s="404"/>
      <c r="G25" s="422"/>
      <c r="H25" s="420"/>
      <c r="I25" s="55"/>
      <c r="J25" s="56"/>
      <c r="K25" s="55"/>
      <c r="L25" s="56"/>
      <c r="M25" s="55"/>
      <c r="N25" s="56"/>
      <c r="O25" s="46"/>
    </row>
    <row r="26" spans="1:15" ht="13.5" thickTop="1">
      <c r="A26" s="294" t="s">
        <v>68</v>
      </c>
      <c r="B26" s="51" t="s">
        <v>94</v>
      </c>
      <c r="C26" s="176">
        <v>5700</v>
      </c>
      <c r="D26" s="172">
        <f>(6.29+3.485+0.437+0.015)*1.075*1.2</f>
        <v>13.19283</v>
      </c>
      <c r="E26" s="401">
        <f>146+27</f>
        <v>173</v>
      </c>
      <c r="F26" s="403">
        <v>52.47</v>
      </c>
      <c r="G26" s="177">
        <v>1057.14</v>
      </c>
      <c r="H26" s="178">
        <v>56.19</v>
      </c>
      <c r="I26" s="59"/>
      <c r="J26" s="50"/>
      <c r="K26" s="59"/>
      <c r="L26" s="50"/>
      <c r="M26" s="59"/>
      <c r="N26" s="50"/>
      <c r="O26" s="46"/>
    </row>
    <row r="27" spans="1:15" ht="12.75">
      <c r="A27" s="295"/>
      <c r="B27" s="55" t="s">
        <v>95</v>
      </c>
      <c r="C27" s="168">
        <v>0</v>
      </c>
      <c r="D27" s="173">
        <f>(4.04+0.871+0.437+0.015)*1.075*1.2</f>
        <v>6.918269999999999</v>
      </c>
      <c r="E27" s="402"/>
      <c r="F27" s="404"/>
      <c r="G27" s="421">
        <v>0</v>
      </c>
      <c r="H27" s="404">
        <v>6.91</v>
      </c>
      <c r="I27" s="55"/>
      <c r="J27" s="56"/>
      <c r="K27" s="55"/>
      <c r="L27" s="56"/>
      <c r="M27" s="55"/>
      <c r="N27" s="56"/>
      <c r="O27" s="46"/>
    </row>
    <row r="28" spans="1:15" ht="13.5" thickBot="1">
      <c r="A28" s="295"/>
      <c r="B28" s="55" t="s">
        <v>113</v>
      </c>
      <c r="C28" s="168">
        <v>17.25</v>
      </c>
      <c r="D28" s="175">
        <f>49.863*1.075*1.2</f>
        <v>64.32327</v>
      </c>
      <c r="E28" s="402"/>
      <c r="F28" s="404"/>
      <c r="G28" s="422"/>
      <c r="H28" s="420"/>
      <c r="I28" s="55"/>
      <c r="J28" s="56"/>
      <c r="K28" s="55"/>
      <c r="L28" s="56"/>
      <c r="M28" s="55"/>
      <c r="N28" s="56"/>
      <c r="O28" s="46"/>
    </row>
    <row r="29" spans="1:15" ht="13.5" thickTop="1">
      <c r="A29" s="294" t="s">
        <v>69</v>
      </c>
      <c r="B29" s="51" t="s">
        <v>94</v>
      </c>
      <c r="C29" s="176">
        <v>4530</v>
      </c>
      <c r="D29" s="172">
        <f>(6.29+3.485+0.437+0.015)*1.075*1.2</f>
        <v>13.19283</v>
      </c>
      <c r="E29" s="401">
        <f>95+10</f>
        <v>105</v>
      </c>
      <c r="F29" s="403">
        <v>52.47</v>
      </c>
      <c r="G29" s="177">
        <v>1057.14</v>
      </c>
      <c r="H29" s="178">
        <v>56.19</v>
      </c>
      <c r="I29" s="59"/>
      <c r="J29" s="50"/>
      <c r="K29" s="59"/>
      <c r="L29" s="50"/>
      <c r="M29" s="59"/>
      <c r="N29" s="50"/>
      <c r="O29" s="46"/>
    </row>
    <row r="30" spans="1:15" ht="12.75">
      <c r="A30" s="295"/>
      <c r="B30" s="55" t="s">
        <v>95</v>
      </c>
      <c r="C30" s="168">
        <v>0</v>
      </c>
      <c r="D30" s="173">
        <f>(4.04+0.871+0.437+0.015)*1.075*1.2</f>
        <v>6.918269999999999</v>
      </c>
      <c r="E30" s="402"/>
      <c r="F30" s="404"/>
      <c r="G30" s="421">
        <v>0</v>
      </c>
      <c r="H30" s="404">
        <v>6.91</v>
      </c>
      <c r="I30" s="55"/>
      <c r="J30" s="56"/>
      <c r="K30" s="55"/>
      <c r="L30" s="56"/>
      <c r="M30" s="55"/>
      <c r="N30" s="56"/>
      <c r="O30" s="46"/>
    </row>
    <row r="31" spans="1:15" ht="13.5" thickBot="1">
      <c r="A31" s="295"/>
      <c r="B31" s="55" t="s">
        <v>113</v>
      </c>
      <c r="C31" s="168">
        <v>17.25</v>
      </c>
      <c r="D31" s="175">
        <f>49.863*1.075*1.2</f>
        <v>64.32327</v>
      </c>
      <c r="E31" s="402"/>
      <c r="F31" s="404"/>
      <c r="G31" s="422"/>
      <c r="H31" s="420"/>
      <c r="I31" s="55"/>
      <c r="J31" s="56"/>
      <c r="K31" s="55"/>
      <c r="L31" s="56"/>
      <c r="M31" s="55"/>
      <c r="N31" s="56"/>
      <c r="O31" s="46"/>
    </row>
    <row r="32" spans="1:15" ht="13.5" thickTop="1">
      <c r="A32" s="294" t="s">
        <v>22</v>
      </c>
      <c r="B32" s="51" t="s">
        <v>94</v>
      </c>
      <c r="C32" s="176">
        <v>4410</v>
      </c>
      <c r="D32" s="172">
        <f>(6.29+3.485+0.437+0.015)*1.075*1.2</f>
        <v>13.19283</v>
      </c>
      <c r="E32" s="401">
        <f>102+10</f>
        <v>112</v>
      </c>
      <c r="F32" s="403">
        <v>52.47</v>
      </c>
      <c r="G32" s="177">
        <v>1057.14</v>
      </c>
      <c r="H32" s="178">
        <v>56.19</v>
      </c>
      <c r="I32" s="59"/>
      <c r="J32" s="50"/>
      <c r="K32" s="59"/>
      <c r="L32" s="50"/>
      <c r="M32" s="59"/>
      <c r="N32" s="50"/>
      <c r="O32" s="46"/>
    </row>
    <row r="33" spans="1:15" ht="12.75">
      <c r="A33" s="295"/>
      <c r="B33" s="55" t="s">
        <v>95</v>
      </c>
      <c r="C33" s="168">
        <v>0</v>
      </c>
      <c r="D33" s="173">
        <f>(4.04+0.871+0.437+0.015)*1.075*1.2</f>
        <v>6.918269999999999</v>
      </c>
      <c r="E33" s="402"/>
      <c r="F33" s="404"/>
      <c r="G33" s="421">
        <v>0</v>
      </c>
      <c r="H33" s="404">
        <v>6.91</v>
      </c>
      <c r="I33" s="55"/>
      <c r="J33" s="56"/>
      <c r="K33" s="55"/>
      <c r="L33" s="56"/>
      <c r="M33" s="55"/>
      <c r="N33" s="56"/>
      <c r="O33" s="46"/>
    </row>
    <row r="34" spans="1:15" ht="13.5" thickBot="1">
      <c r="A34" s="295"/>
      <c r="B34" s="55" t="s">
        <v>113</v>
      </c>
      <c r="C34" s="168">
        <v>17.25</v>
      </c>
      <c r="D34" s="175">
        <f>49.863*1.075*1.2</f>
        <v>64.32327</v>
      </c>
      <c r="E34" s="402"/>
      <c r="F34" s="404"/>
      <c r="G34" s="422"/>
      <c r="H34" s="420"/>
      <c r="I34" s="55"/>
      <c r="J34" s="56"/>
      <c r="K34" s="55"/>
      <c r="L34" s="56"/>
      <c r="M34" s="55"/>
      <c r="N34" s="56"/>
      <c r="O34" s="46"/>
    </row>
    <row r="35" spans="1:15" ht="13.5" thickTop="1">
      <c r="A35" s="294" t="s">
        <v>23</v>
      </c>
      <c r="B35" s="51" t="s">
        <v>94</v>
      </c>
      <c r="C35" s="176">
        <v>5610</v>
      </c>
      <c r="D35" s="172">
        <f>(9.7+3.485+0.437+0.015)*1.075*1.2</f>
        <v>17.59173</v>
      </c>
      <c r="E35" s="292">
        <f>102+15</f>
        <v>117</v>
      </c>
      <c r="F35" s="309">
        <v>58.17</v>
      </c>
      <c r="G35" s="177">
        <v>1057.14</v>
      </c>
      <c r="H35" s="178">
        <v>56.19</v>
      </c>
      <c r="I35" s="59"/>
      <c r="J35" s="50"/>
      <c r="K35" s="59"/>
      <c r="L35" s="50"/>
      <c r="M35" s="59"/>
      <c r="N35" s="50"/>
      <c r="O35" s="46"/>
    </row>
    <row r="36" spans="1:15" ht="12.75">
      <c r="A36" s="295"/>
      <c r="B36" s="55" t="s">
        <v>95</v>
      </c>
      <c r="C36" s="168">
        <v>0</v>
      </c>
      <c r="D36" s="173">
        <f>(6.15+0.871+0.437+0.015)*1.075*1.2</f>
        <v>9.640170000000001</v>
      </c>
      <c r="E36" s="293"/>
      <c r="F36" s="310"/>
      <c r="G36" s="421">
        <v>0</v>
      </c>
      <c r="H36" s="404">
        <v>6.91</v>
      </c>
      <c r="I36" s="55"/>
      <c r="J36" s="56"/>
      <c r="K36" s="55"/>
      <c r="L36" s="56"/>
      <c r="M36" s="55"/>
      <c r="N36" s="56"/>
      <c r="O36" s="46"/>
    </row>
    <row r="37" spans="1:15" ht="13.5" thickBot="1">
      <c r="A37" s="295"/>
      <c r="B37" s="55" t="s">
        <v>113</v>
      </c>
      <c r="C37" s="168">
        <v>17.25</v>
      </c>
      <c r="D37" s="175">
        <f>49.863*1.075*1.2</f>
        <v>64.32327</v>
      </c>
      <c r="E37" s="293"/>
      <c r="F37" s="310"/>
      <c r="G37" s="422"/>
      <c r="H37" s="420"/>
      <c r="I37" s="55"/>
      <c r="J37" s="56"/>
      <c r="K37" s="55"/>
      <c r="L37" s="56"/>
      <c r="M37" s="55"/>
      <c r="N37" s="56"/>
      <c r="O37" s="46"/>
    </row>
    <row r="38" spans="1:15" ht="13.5" thickTop="1">
      <c r="A38" s="294" t="s">
        <v>24</v>
      </c>
      <c r="B38" s="51" t="s">
        <v>94</v>
      </c>
      <c r="C38" s="167">
        <v>0</v>
      </c>
      <c r="D38" s="172">
        <f>(9.7+3.879+0.437+0.015)*1.075*1.2</f>
        <v>18.09999</v>
      </c>
      <c r="E38" s="292">
        <f>106+19</f>
        <v>125</v>
      </c>
      <c r="F38" s="309">
        <v>58.17</v>
      </c>
      <c r="G38" s="177">
        <v>1057.14</v>
      </c>
      <c r="H38" s="178">
        <v>56.19</v>
      </c>
      <c r="I38" s="59"/>
      <c r="J38" s="63"/>
      <c r="K38" s="63"/>
      <c r="L38" s="63"/>
      <c r="M38" s="63"/>
      <c r="N38" s="50"/>
      <c r="O38" s="46"/>
    </row>
    <row r="39" spans="1:15" ht="12.75">
      <c r="A39" s="295"/>
      <c r="B39" s="55" t="s">
        <v>95</v>
      </c>
      <c r="C39" s="88">
        <v>0</v>
      </c>
      <c r="D39" s="173">
        <f>(6.15+0.97+0.437+0.015)*1.075*1.2</f>
        <v>9.767879999999998</v>
      </c>
      <c r="E39" s="293"/>
      <c r="F39" s="310"/>
      <c r="G39" s="421">
        <v>15250</v>
      </c>
      <c r="H39" s="404">
        <v>6.91</v>
      </c>
      <c r="I39" s="55"/>
      <c r="J39" s="64"/>
      <c r="K39" s="64"/>
      <c r="L39" s="64"/>
      <c r="M39" s="64"/>
      <c r="N39" s="56"/>
      <c r="O39" s="46"/>
    </row>
    <row r="40" spans="1:15" ht="13.5" thickBot="1">
      <c r="A40" s="295"/>
      <c r="B40" s="55" t="s">
        <v>113</v>
      </c>
      <c r="C40" s="88">
        <v>17.25</v>
      </c>
      <c r="D40" s="175">
        <f>54.258*1.075*1.2</f>
        <v>69.99282</v>
      </c>
      <c r="E40" s="293"/>
      <c r="F40" s="310"/>
      <c r="G40" s="422"/>
      <c r="H40" s="420"/>
      <c r="I40" s="55"/>
      <c r="J40" s="64"/>
      <c r="K40" s="64"/>
      <c r="L40" s="64"/>
      <c r="M40" s="64"/>
      <c r="N40" s="56"/>
      <c r="O40" s="46"/>
    </row>
    <row r="41" spans="1:15" ht="12.75">
      <c r="A41" s="294" t="s">
        <v>25</v>
      </c>
      <c r="B41" s="59" t="s">
        <v>94</v>
      </c>
      <c r="C41" s="167">
        <v>10410</v>
      </c>
      <c r="D41" s="172">
        <f>(9.7+3.879+0.437+0.015)*1.075*1.2</f>
        <v>18.09999</v>
      </c>
      <c r="E41" s="292">
        <f>109+12</f>
        <v>121</v>
      </c>
      <c r="F41" s="309">
        <v>58.17</v>
      </c>
      <c r="G41" s="177">
        <v>1057.14</v>
      </c>
      <c r="H41" s="178">
        <v>56.19</v>
      </c>
      <c r="I41" s="59"/>
      <c r="J41" s="50"/>
      <c r="K41" s="59"/>
      <c r="L41" s="50"/>
      <c r="M41" s="59"/>
      <c r="N41" s="50"/>
      <c r="O41" s="46"/>
    </row>
    <row r="42" spans="1:15" ht="12.75">
      <c r="A42" s="295"/>
      <c r="B42" s="55" t="s">
        <v>95</v>
      </c>
      <c r="C42" s="166">
        <v>0</v>
      </c>
      <c r="D42" s="173">
        <f>(6.15+0.97+0.437+0.015)*1.075*1.2</f>
        <v>9.767879999999998</v>
      </c>
      <c r="E42" s="293"/>
      <c r="F42" s="310"/>
      <c r="G42" s="421">
        <v>21060</v>
      </c>
      <c r="H42" s="404">
        <v>6.91</v>
      </c>
      <c r="I42" s="55"/>
      <c r="J42" s="56"/>
      <c r="K42" s="55"/>
      <c r="L42" s="56"/>
      <c r="M42" s="55"/>
      <c r="N42" s="56"/>
      <c r="O42" s="46"/>
    </row>
    <row r="43" spans="1:15" ht="12" customHeight="1" thickBot="1">
      <c r="A43" s="295"/>
      <c r="B43" s="55" t="s">
        <v>94</v>
      </c>
      <c r="C43" s="88">
        <v>17.25</v>
      </c>
      <c r="D43" s="175">
        <f>54.258*1.075*1.2</f>
        <v>69.99282</v>
      </c>
      <c r="E43" s="293"/>
      <c r="F43" s="310"/>
      <c r="G43" s="422"/>
      <c r="H43" s="420"/>
      <c r="I43" s="55"/>
      <c r="J43" s="56"/>
      <c r="K43" s="55"/>
      <c r="L43" s="56"/>
      <c r="M43" s="55"/>
      <c r="N43" s="56"/>
      <c r="O43" s="46"/>
    </row>
    <row r="44" spans="1:15" ht="12.75">
      <c r="A44" s="405" t="s">
        <v>26</v>
      </c>
      <c r="B44" s="69" t="s">
        <v>94</v>
      </c>
      <c r="C44" s="167">
        <v>5640</v>
      </c>
      <c r="D44" s="172">
        <f>(9.7+3.879+0.437+0.015)*1.075*1.2</f>
        <v>18.09999</v>
      </c>
      <c r="E44" s="408">
        <f>158+19</f>
        <v>177</v>
      </c>
      <c r="F44" s="399">
        <v>58.17</v>
      </c>
      <c r="G44" s="177">
        <v>1057.14</v>
      </c>
      <c r="H44" s="178">
        <v>56.19</v>
      </c>
      <c r="I44" s="136"/>
      <c r="J44" s="151"/>
      <c r="K44" s="149"/>
      <c r="L44" s="151"/>
      <c r="M44" s="149"/>
      <c r="N44" s="142"/>
      <c r="O44" s="46"/>
    </row>
    <row r="45" spans="1:15" ht="12.75">
      <c r="A45" s="406"/>
      <c r="B45" s="70" t="s">
        <v>95</v>
      </c>
      <c r="C45" s="166">
        <v>0</v>
      </c>
      <c r="D45" s="173">
        <f>(6.15+0.97+0.437+0.015)*1.075*1.2</f>
        <v>9.767879999999998</v>
      </c>
      <c r="E45" s="409"/>
      <c r="F45" s="310"/>
      <c r="G45" s="418">
        <v>25890</v>
      </c>
      <c r="H45" s="404">
        <v>6.91</v>
      </c>
      <c r="I45" s="126"/>
      <c r="J45" s="56"/>
      <c r="K45" s="55"/>
      <c r="L45" s="56"/>
      <c r="M45" s="55"/>
      <c r="N45" s="143"/>
      <c r="O45" s="46"/>
    </row>
    <row r="46" spans="1:15" ht="13.5" thickBot="1">
      <c r="A46" s="407"/>
      <c r="B46" s="146" t="s">
        <v>94</v>
      </c>
      <c r="C46" s="88">
        <v>17.25</v>
      </c>
      <c r="D46" s="175">
        <f>54.258*1.075*1.2</f>
        <v>69.99282</v>
      </c>
      <c r="E46" s="410"/>
      <c r="F46" s="400"/>
      <c r="G46" s="419"/>
      <c r="H46" s="420"/>
      <c r="I46" s="137"/>
      <c r="J46" s="152"/>
      <c r="K46" s="150"/>
      <c r="L46" s="152"/>
      <c r="M46" s="150"/>
      <c r="N46" s="145"/>
      <c r="O46" s="46"/>
    </row>
    <row r="47" spans="1:15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6"/>
    </row>
    <row r="48" spans="1:15" s="27" customFormat="1" ht="12.75">
      <c r="A48" s="413" t="s">
        <v>32</v>
      </c>
      <c r="B48" s="413"/>
      <c r="C48" s="413"/>
      <c r="D48" s="414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6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47" t="s">
        <v>35</v>
      </c>
      <c r="C50" s="347"/>
      <c r="D50" s="347"/>
      <c r="E50" s="348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47" t="s">
        <v>34</v>
      </c>
      <c r="C51" s="347"/>
      <c r="D51" s="347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</sheetData>
  <sheetProtection/>
  <mergeCells count="79">
    <mergeCell ref="G39:G40"/>
    <mergeCell ref="H39:H40"/>
    <mergeCell ref="G42:G43"/>
    <mergeCell ref="H42:H43"/>
    <mergeCell ref="G45:G46"/>
    <mergeCell ref="H45:H46"/>
    <mergeCell ref="H18:H19"/>
    <mergeCell ref="H21:H22"/>
    <mergeCell ref="G21:G22"/>
    <mergeCell ref="G18:G19"/>
    <mergeCell ref="G36:G37"/>
    <mergeCell ref="H36:H37"/>
    <mergeCell ref="H24:H25"/>
    <mergeCell ref="G27:G28"/>
    <mergeCell ref="F17:F19"/>
    <mergeCell ref="E20:E22"/>
    <mergeCell ref="F20:F22"/>
    <mergeCell ref="E14:E16"/>
    <mergeCell ref="G15:G16"/>
    <mergeCell ref="G8:N8"/>
    <mergeCell ref="F11:F13"/>
    <mergeCell ref="E8:F8"/>
    <mergeCell ref="H15:H16"/>
    <mergeCell ref="F14:F16"/>
    <mergeCell ref="G30:G31"/>
    <mergeCell ref="G24:G25"/>
    <mergeCell ref="G33:G34"/>
    <mergeCell ref="H33:H34"/>
    <mergeCell ref="H27:H28"/>
    <mergeCell ref="H30:H31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B9:C10"/>
    <mergeCell ref="G9:H9"/>
    <mergeCell ref="G12:G13"/>
    <mergeCell ref="H12:H13"/>
    <mergeCell ref="D9:D10"/>
    <mergeCell ref="E9:E10"/>
    <mergeCell ref="F9:F10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51:D51"/>
    <mergeCell ref="A41:A43"/>
    <mergeCell ref="E41:E43"/>
    <mergeCell ref="A44:A46"/>
    <mergeCell ref="E44:E46"/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5">
      <selection activeCell="C45" sqref="C45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25" customFormat="1" ht="15">
      <c r="A1" s="19" t="s">
        <v>41</v>
      </c>
      <c r="B1" s="17" t="s">
        <v>104</v>
      </c>
      <c r="C1" s="17"/>
      <c r="E1" s="18"/>
      <c r="F1" s="18">
        <v>50476</v>
      </c>
      <c r="G1" s="18"/>
      <c r="H1" s="17" t="s">
        <v>29</v>
      </c>
      <c r="I1" s="17"/>
      <c r="J1" s="17"/>
      <c r="K1" s="18">
        <v>967</v>
      </c>
      <c r="L1" s="18"/>
      <c r="M1" s="18"/>
    </row>
    <row r="2" spans="1:13" s="25" customFormat="1" ht="15">
      <c r="A2" s="17" t="s">
        <v>1</v>
      </c>
      <c r="B2" s="17" t="s">
        <v>92</v>
      </c>
      <c r="C2" s="17"/>
      <c r="E2" s="18"/>
      <c r="F2" s="18">
        <v>50475</v>
      </c>
      <c r="G2" s="18"/>
      <c r="H2" s="17" t="s">
        <v>2</v>
      </c>
      <c r="I2" s="17"/>
      <c r="J2" s="17"/>
      <c r="K2" s="18">
        <v>7</v>
      </c>
      <c r="L2" s="18"/>
      <c r="M2" s="18"/>
    </row>
    <row r="3" spans="1:13" s="25" customFormat="1" ht="15">
      <c r="A3" s="17" t="s">
        <v>0</v>
      </c>
      <c r="B3" s="17" t="s">
        <v>38</v>
      </c>
      <c r="C3" s="17"/>
      <c r="E3" s="18"/>
      <c r="F3" s="18"/>
      <c r="G3" s="18"/>
      <c r="H3" s="17" t="s">
        <v>3</v>
      </c>
      <c r="I3" s="17"/>
      <c r="J3" s="17"/>
      <c r="K3" s="18">
        <v>2</v>
      </c>
      <c r="L3" s="18"/>
      <c r="M3" s="18"/>
    </row>
    <row r="4" spans="1:14" s="25" customFormat="1" ht="15">
      <c r="A4" s="17" t="s">
        <v>4</v>
      </c>
      <c r="B4" s="17">
        <v>162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thickBot="1">
      <c r="A5" s="16"/>
      <c r="B5" s="16"/>
      <c r="C5" s="16"/>
      <c r="D5" s="16"/>
      <c r="E5" s="16"/>
      <c r="F5" s="16"/>
      <c r="G5" s="16"/>
      <c r="H5" s="16"/>
      <c r="I5" s="16"/>
      <c r="J5" s="35"/>
      <c r="K5" s="35" t="s">
        <v>65</v>
      </c>
      <c r="L5" s="35"/>
      <c r="M5" s="16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5"/>
      <c r="B10" s="442"/>
      <c r="C10" s="356"/>
      <c r="D10" s="345"/>
      <c r="E10" s="445"/>
      <c r="F10" s="345"/>
      <c r="G10" s="11" t="s">
        <v>114</v>
      </c>
      <c r="H10" s="3" t="s">
        <v>9</v>
      </c>
      <c r="I10" s="9" t="s">
        <v>12</v>
      </c>
      <c r="J10" s="10" t="s">
        <v>9</v>
      </c>
      <c r="K10" s="9" t="s">
        <v>10</v>
      </c>
      <c r="L10" s="10" t="s">
        <v>9</v>
      </c>
      <c r="M10" s="9" t="s">
        <v>30</v>
      </c>
      <c r="N10" s="10" t="s">
        <v>9</v>
      </c>
    </row>
    <row r="11" spans="1:14" ht="15.75" customHeight="1" thickTop="1">
      <c r="A11" s="437" t="s">
        <v>16</v>
      </c>
      <c r="B11" s="80" t="s">
        <v>94</v>
      </c>
      <c r="C11" s="171">
        <v>540</v>
      </c>
      <c r="D11" s="172">
        <f>(6.29+3.187+0.437+0.015)*1.075*1.2</f>
        <v>12.808409999999999</v>
      </c>
      <c r="E11" s="364">
        <f>239+6</f>
        <v>245</v>
      </c>
      <c r="F11" s="365">
        <v>52.47</v>
      </c>
      <c r="G11" s="15">
        <v>801.96</v>
      </c>
      <c r="H11" s="179">
        <v>56.19</v>
      </c>
      <c r="I11" s="96"/>
      <c r="J11" s="97"/>
      <c r="K11" s="96"/>
      <c r="L11" s="97"/>
      <c r="M11" s="96"/>
      <c r="N11" s="97"/>
    </row>
    <row r="12" spans="1:14" ht="15.75" customHeight="1">
      <c r="A12" s="438"/>
      <c r="B12" s="83" t="s">
        <v>101</v>
      </c>
      <c r="C12" s="88">
        <v>0</v>
      </c>
      <c r="D12" s="173">
        <f>(4.04+0.797+0.437+0.015)*1.075*1.2</f>
        <v>6.82281</v>
      </c>
      <c r="E12" s="446"/>
      <c r="F12" s="363"/>
      <c r="G12" s="428">
        <v>17600</v>
      </c>
      <c r="H12" s="426">
        <v>6.91</v>
      </c>
      <c r="I12" s="73"/>
      <c r="J12" s="101"/>
      <c r="K12" s="73"/>
      <c r="L12" s="101"/>
      <c r="M12" s="73"/>
      <c r="N12" s="101"/>
    </row>
    <row r="13" spans="1:14" ht="15.75" customHeight="1" thickBot="1">
      <c r="A13" s="438"/>
      <c r="B13" s="83" t="s">
        <v>113</v>
      </c>
      <c r="C13" s="144">
        <v>17.25</v>
      </c>
      <c r="D13" s="175">
        <f>49.291*1.075*1.2</f>
        <v>63.58538999999999</v>
      </c>
      <c r="E13" s="446"/>
      <c r="F13" s="363"/>
      <c r="G13" s="429"/>
      <c r="H13" s="427"/>
      <c r="I13" s="138"/>
      <c r="J13" s="102"/>
      <c r="K13" s="138"/>
      <c r="L13" s="102"/>
      <c r="M13" s="138"/>
      <c r="N13" s="102"/>
    </row>
    <row r="14" spans="1:14" ht="15" customHeight="1" thickTop="1">
      <c r="A14" s="443" t="s">
        <v>17</v>
      </c>
      <c r="B14" s="80" t="s">
        <v>94</v>
      </c>
      <c r="C14" s="162">
        <v>5760</v>
      </c>
      <c r="D14" s="172">
        <f>(6.29+3.485+0.437+0.015)*1.075*1.2</f>
        <v>13.19283</v>
      </c>
      <c r="E14" s="395">
        <v>253</v>
      </c>
      <c r="F14" s="430">
        <v>52.47</v>
      </c>
      <c r="G14" s="15">
        <v>801.96</v>
      </c>
      <c r="H14" s="179">
        <v>56.19</v>
      </c>
      <c r="I14" s="6"/>
      <c r="J14" s="128"/>
      <c r="K14" s="96"/>
      <c r="L14" s="97"/>
      <c r="M14" s="96"/>
      <c r="N14" s="97"/>
    </row>
    <row r="15" spans="1:14" ht="15" customHeight="1">
      <c r="A15" s="443"/>
      <c r="B15" s="83" t="s">
        <v>101</v>
      </c>
      <c r="C15" s="92">
        <v>0</v>
      </c>
      <c r="D15" s="173">
        <f>(4.04+0.871+0.437+0.015)*1.075*1.2</f>
        <v>6.918269999999999</v>
      </c>
      <c r="E15" s="312"/>
      <c r="F15" s="430"/>
      <c r="G15" s="428">
        <v>18191</v>
      </c>
      <c r="H15" s="426">
        <v>6.91</v>
      </c>
      <c r="I15" s="6"/>
      <c r="J15" s="128"/>
      <c r="K15" s="73"/>
      <c r="L15" s="101"/>
      <c r="M15" s="73"/>
      <c r="N15" s="101"/>
    </row>
    <row r="16" spans="1:14" ht="15" customHeight="1" thickBot="1">
      <c r="A16" s="443"/>
      <c r="B16" s="83" t="s">
        <v>113</v>
      </c>
      <c r="C16" s="91">
        <v>17.25</v>
      </c>
      <c r="D16" s="175">
        <f>49.863*1.075*1.2</f>
        <v>64.32327</v>
      </c>
      <c r="E16" s="312"/>
      <c r="F16" s="430"/>
      <c r="G16" s="429"/>
      <c r="H16" s="427"/>
      <c r="I16" s="6"/>
      <c r="J16" s="128"/>
      <c r="K16" s="138"/>
      <c r="L16" s="102"/>
      <c r="M16" s="138"/>
      <c r="N16" s="102"/>
    </row>
    <row r="17" spans="1:14" ht="13.5" thickTop="1">
      <c r="A17" s="443" t="s">
        <v>18</v>
      </c>
      <c r="B17" s="80" t="s">
        <v>94</v>
      </c>
      <c r="C17" s="162">
        <v>5920</v>
      </c>
      <c r="D17" s="172">
        <f>(6.29+3.485+0.437+0.015)*1.075*1.2</f>
        <v>13.19283</v>
      </c>
      <c r="E17" s="441">
        <f>287+7</f>
        <v>294</v>
      </c>
      <c r="F17" s="430">
        <v>52.47</v>
      </c>
      <c r="G17" s="15">
        <v>801.96</v>
      </c>
      <c r="H17" s="179">
        <v>56.19</v>
      </c>
      <c r="I17" s="96"/>
      <c r="J17" s="97"/>
      <c r="K17" s="96"/>
      <c r="L17" s="97"/>
      <c r="M17" s="96"/>
      <c r="N17" s="97"/>
    </row>
    <row r="18" spans="1:14" ht="12.75">
      <c r="A18" s="443"/>
      <c r="B18" s="83" t="s">
        <v>101</v>
      </c>
      <c r="C18" s="92">
        <v>0</v>
      </c>
      <c r="D18" s="173">
        <f>(4.04+0.871+0.437+0.015)*1.075*1.2</f>
        <v>6.918269999999999</v>
      </c>
      <c r="E18" s="441"/>
      <c r="F18" s="430"/>
      <c r="G18" s="424">
        <v>17043</v>
      </c>
      <c r="H18" s="426">
        <v>6.91</v>
      </c>
      <c r="I18" s="73"/>
      <c r="J18" s="101"/>
      <c r="K18" s="73"/>
      <c r="L18" s="101"/>
      <c r="M18" s="73"/>
      <c r="N18" s="101"/>
    </row>
    <row r="19" spans="1:14" ht="13.5" thickBot="1">
      <c r="A19" s="443"/>
      <c r="B19" s="83" t="s">
        <v>113</v>
      </c>
      <c r="C19" s="91">
        <v>17.25</v>
      </c>
      <c r="D19" s="175">
        <f>49.863*1.075*1.2</f>
        <v>64.32327</v>
      </c>
      <c r="E19" s="441"/>
      <c r="F19" s="430"/>
      <c r="G19" s="425"/>
      <c r="H19" s="427"/>
      <c r="I19" s="138"/>
      <c r="J19" s="102"/>
      <c r="K19" s="138"/>
      <c r="L19" s="102"/>
      <c r="M19" s="138"/>
      <c r="N19" s="102"/>
    </row>
    <row r="20" spans="1:14" ht="13.5" thickTop="1">
      <c r="A20" s="439" t="s">
        <v>19</v>
      </c>
      <c r="B20" s="80" t="s">
        <v>94</v>
      </c>
      <c r="C20" s="162">
        <v>1800</v>
      </c>
      <c r="D20" s="172">
        <f>(6.29+3.485+0.437+0.015)*1.075*1.2</f>
        <v>13.19283</v>
      </c>
      <c r="E20" s="441">
        <v>93</v>
      </c>
      <c r="F20" s="430">
        <v>52.47</v>
      </c>
      <c r="G20" s="15">
        <v>801.96</v>
      </c>
      <c r="H20" s="179">
        <v>56.19</v>
      </c>
      <c r="I20" s="6"/>
      <c r="J20" s="7"/>
      <c r="K20" s="6"/>
      <c r="L20" s="7"/>
      <c r="M20" s="6"/>
      <c r="N20" s="7"/>
    </row>
    <row r="21" spans="1:14" ht="12.75">
      <c r="A21" s="440"/>
      <c r="B21" s="83" t="s">
        <v>101</v>
      </c>
      <c r="C21" s="92">
        <v>0</v>
      </c>
      <c r="D21" s="173">
        <f>(4.04+0.871+0.437+0.015)*1.075*1.2</f>
        <v>6.918269999999999</v>
      </c>
      <c r="E21" s="441"/>
      <c r="F21" s="430"/>
      <c r="G21" s="424">
        <v>14761</v>
      </c>
      <c r="H21" s="426">
        <v>6.91</v>
      </c>
      <c r="I21" s="6"/>
      <c r="J21" s="7"/>
      <c r="K21" s="6"/>
      <c r="L21" s="7"/>
      <c r="M21" s="6"/>
      <c r="N21" s="7"/>
    </row>
    <row r="22" spans="1:14" ht="13.5" thickBot="1">
      <c r="A22" s="440"/>
      <c r="B22" s="83" t="s">
        <v>113</v>
      </c>
      <c r="C22" s="91">
        <v>17.25</v>
      </c>
      <c r="D22" s="175">
        <f>49.863*1.075*1.2</f>
        <v>64.32327</v>
      </c>
      <c r="E22" s="441"/>
      <c r="F22" s="430"/>
      <c r="G22" s="425"/>
      <c r="H22" s="427"/>
      <c r="I22" s="6"/>
      <c r="J22" s="7"/>
      <c r="K22" s="6"/>
      <c r="L22" s="7"/>
      <c r="M22" s="6"/>
      <c r="N22" s="7"/>
    </row>
    <row r="23" spans="1:14" ht="13.5" thickTop="1">
      <c r="A23" s="439" t="s">
        <v>20</v>
      </c>
      <c r="B23" s="80" t="s">
        <v>94</v>
      </c>
      <c r="C23" s="162">
        <v>1400</v>
      </c>
      <c r="D23" s="172">
        <f>(6.29+3.485+0.437+0.015)*1.075*1.2</f>
        <v>13.19283</v>
      </c>
      <c r="E23" s="441">
        <f>60+1</f>
        <v>61</v>
      </c>
      <c r="F23" s="430">
        <v>52.47</v>
      </c>
      <c r="G23" s="15">
        <v>801.96</v>
      </c>
      <c r="H23" s="179">
        <v>56.19</v>
      </c>
      <c r="I23" s="9"/>
      <c r="J23" s="10"/>
      <c r="K23" s="9"/>
      <c r="L23" s="10"/>
      <c r="M23" s="9"/>
      <c r="N23" s="10"/>
    </row>
    <row r="24" spans="1:14" ht="12.75">
      <c r="A24" s="440"/>
      <c r="B24" s="83" t="s">
        <v>101</v>
      </c>
      <c r="C24" s="92">
        <v>0</v>
      </c>
      <c r="D24" s="173">
        <f>(4.04+0.871+0.437+0.015)*1.075*1.2</f>
        <v>6.918269999999999</v>
      </c>
      <c r="E24" s="441"/>
      <c r="F24" s="430"/>
      <c r="G24" s="424">
        <v>0</v>
      </c>
      <c r="H24" s="426">
        <v>6.91</v>
      </c>
      <c r="I24" s="6"/>
      <c r="J24" s="7"/>
      <c r="K24" s="6"/>
      <c r="L24" s="7"/>
      <c r="M24" s="6"/>
      <c r="N24" s="7"/>
    </row>
    <row r="25" spans="1:14" ht="13.5" thickBot="1">
      <c r="A25" s="440"/>
      <c r="B25" s="83" t="s">
        <v>113</v>
      </c>
      <c r="C25" s="91">
        <v>17.25</v>
      </c>
      <c r="D25" s="175">
        <f>49.863*1.075*1.2</f>
        <v>64.32327</v>
      </c>
      <c r="E25" s="441"/>
      <c r="F25" s="430"/>
      <c r="G25" s="425"/>
      <c r="H25" s="427"/>
      <c r="I25" s="6"/>
      <c r="J25" s="7"/>
      <c r="K25" s="6"/>
      <c r="L25" s="7"/>
      <c r="M25" s="6"/>
      <c r="N25" s="7"/>
    </row>
    <row r="26" spans="1:14" ht="13.5" thickTop="1">
      <c r="A26" s="439" t="s">
        <v>68</v>
      </c>
      <c r="B26" s="80" t="s">
        <v>94</v>
      </c>
      <c r="C26" s="162">
        <v>1520</v>
      </c>
      <c r="D26" s="172">
        <f>(6.29+3.485+0.437+0.015)*1.075*1.2</f>
        <v>13.19283</v>
      </c>
      <c r="E26" s="441">
        <f>59+2</f>
        <v>61</v>
      </c>
      <c r="F26" s="430">
        <v>52.47</v>
      </c>
      <c r="G26" s="15">
        <v>801.96</v>
      </c>
      <c r="H26" s="179">
        <v>56.19</v>
      </c>
      <c r="I26" s="9"/>
      <c r="J26" s="10"/>
      <c r="K26" s="9"/>
      <c r="L26" s="10"/>
      <c r="M26" s="9"/>
      <c r="N26" s="10"/>
    </row>
    <row r="27" spans="1:14" ht="12.75">
      <c r="A27" s="440"/>
      <c r="B27" s="83" t="s">
        <v>101</v>
      </c>
      <c r="C27" s="92">
        <v>0</v>
      </c>
      <c r="D27" s="173">
        <f>(4.04+0.871+0.437+0.015)*1.075*1.2</f>
        <v>6.918269999999999</v>
      </c>
      <c r="E27" s="441"/>
      <c r="F27" s="430"/>
      <c r="G27" s="424">
        <v>0</v>
      </c>
      <c r="H27" s="426">
        <v>6.91</v>
      </c>
      <c r="I27" s="6"/>
      <c r="J27" s="7"/>
      <c r="K27" s="6"/>
      <c r="L27" s="7"/>
      <c r="M27" s="6"/>
      <c r="N27" s="7"/>
    </row>
    <row r="28" spans="1:14" ht="13.5" thickBot="1">
      <c r="A28" s="440"/>
      <c r="B28" s="83" t="s">
        <v>113</v>
      </c>
      <c r="C28" s="91">
        <v>17.25</v>
      </c>
      <c r="D28" s="175">
        <f>49.863*1.075*1.2</f>
        <v>64.32327</v>
      </c>
      <c r="E28" s="441"/>
      <c r="F28" s="430"/>
      <c r="G28" s="425"/>
      <c r="H28" s="427"/>
      <c r="I28" s="6"/>
      <c r="J28" s="7"/>
      <c r="K28" s="6"/>
      <c r="L28" s="7"/>
      <c r="M28" s="6"/>
      <c r="N28" s="7"/>
    </row>
    <row r="29" spans="1:14" ht="13.5" thickTop="1">
      <c r="A29" s="439" t="s">
        <v>69</v>
      </c>
      <c r="B29" s="113" t="s">
        <v>94</v>
      </c>
      <c r="C29" s="162">
        <v>1180</v>
      </c>
      <c r="D29" s="172">
        <f>(6.29+3.485+0.437+0.015)*1.075*1.2</f>
        <v>13.19283</v>
      </c>
      <c r="E29" s="435">
        <v>39</v>
      </c>
      <c r="F29" s="362">
        <v>52.47</v>
      </c>
      <c r="G29" s="15">
        <v>801.96</v>
      </c>
      <c r="H29" s="179">
        <v>56.19</v>
      </c>
      <c r="I29" s="9"/>
      <c r="J29" s="10"/>
      <c r="K29" s="9"/>
      <c r="L29" s="10"/>
      <c r="M29" s="9"/>
      <c r="N29" s="10"/>
    </row>
    <row r="30" spans="1:14" ht="12.75">
      <c r="A30" s="440"/>
      <c r="B30" s="114" t="s">
        <v>101</v>
      </c>
      <c r="C30" s="92">
        <v>0</v>
      </c>
      <c r="D30" s="173">
        <f>(4.04+0.871+0.437+0.015)*1.075*1.2</f>
        <v>6.918269999999999</v>
      </c>
      <c r="E30" s="436"/>
      <c r="F30" s="431"/>
      <c r="G30" s="424">
        <v>0</v>
      </c>
      <c r="H30" s="426">
        <v>6.91</v>
      </c>
      <c r="I30" s="6"/>
      <c r="J30" s="7"/>
      <c r="K30" s="6"/>
      <c r="L30" s="7"/>
      <c r="M30" s="6"/>
      <c r="N30" s="7"/>
    </row>
    <row r="31" spans="1:14" ht="13.5" thickBot="1">
      <c r="A31" s="440"/>
      <c r="B31" s="114" t="s">
        <v>113</v>
      </c>
      <c r="C31" s="91">
        <v>17.25</v>
      </c>
      <c r="D31" s="175">
        <f>49.863*1.075*1.2</f>
        <v>64.32327</v>
      </c>
      <c r="E31" s="436"/>
      <c r="F31" s="431"/>
      <c r="G31" s="425"/>
      <c r="H31" s="427"/>
      <c r="I31" s="6"/>
      <c r="J31" s="7"/>
      <c r="K31" s="6"/>
      <c r="L31" s="7"/>
      <c r="M31" s="6"/>
      <c r="N31" s="7"/>
    </row>
    <row r="32" spans="1:14" ht="13.5" thickTop="1">
      <c r="A32" s="439" t="s">
        <v>22</v>
      </c>
      <c r="B32" s="113" t="s">
        <v>94</v>
      </c>
      <c r="C32" s="120">
        <v>1100</v>
      </c>
      <c r="D32" s="172">
        <f>(6.29+3.485+0.437+0.015)*1.075*1.2</f>
        <v>13.19283</v>
      </c>
      <c r="E32" s="435">
        <f>45+1</f>
        <v>46</v>
      </c>
      <c r="F32" s="362">
        <v>52.47</v>
      </c>
      <c r="G32" s="15">
        <v>801.96</v>
      </c>
      <c r="H32" s="179">
        <v>56.19</v>
      </c>
      <c r="I32" s="109"/>
      <c r="J32" s="116"/>
      <c r="K32" s="109"/>
      <c r="L32" s="116"/>
      <c r="M32" s="109"/>
      <c r="N32" s="116"/>
    </row>
    <row r="33" spans="1:14" ht="12.75" customHeight="1">
      <c r="A33" s="440"/>
      <c r="B33" s="114" t="s">
        <v>101</v>
      </c>
      <c r="C33" s="68">
        <v>0</v>
      </c>
      <c r="D33" s="173">
        <f>(4.04+0.871+0.437+0.015)*1.075*1.2</f>
        <v>6.918269999999999</v>
      </c>
      <c r="E33" s="436"/>
      <c r="F33" s="431"/>
      <c r="G33" s="424">
        <v>0</v>
      </c>
      <c r="H33" s="426">
        <v>6.91</v>
      </c>
      <c r="I33" s="110"/>
      <c r="J33" s="117"/>
      <c r="K33" s="110"/>
      <c r="L33" s="117"/>
      <c r="M33" s="110"/>
      <c r="N33" s="117"/>
    </row>
    <row r="34" spans="1:14" ht="12.75" customHeight="1" thickBot="1">
      <c r="A34" s="440"/>
      <c r="B34" s="114" t="s">
        <v>113</v>
      </c>
      <c r="C34" s="115">
        <v>17.25</v>
      </c>
      <c r="D34" s="175">
        <f>49.863*1.075*1.2</f>
        <v>64.32327</v>
      </c>
      <c r="E34" s="436"/>
      <c r="F34" s="431"/>
      <c r="G34" s="425"/>
      <c r="H34" s="427"/>
      <c r="I34" s="111"/>
      <c r="J34" s="118"/>
      <c r="K34" s="111"/>
      <c r="L34" s="118"/>
      <c r="M34" s="111"/>
      <c r="N34" s="118"/>
    </row>
    <row r="35" spans="1:14" ht="12.75" customHeight="1" thickTop="1">
      <c r="A35" s="439" t="s">
        <v>23</v>
      </c>
      <c r="B35" s="80" t="s">
        <v>94</v>
      </c>
      <c r="C35" s="120">
        <v>1540</v>
      </c>
      <c r="D35" s="172">
        <f>(9.7+3.485+0.437+0.015)*1.075*1.2</f>
        <v>17.59173</v>
      </c>
      <c r="E35" s="435">
        <f>52</f>
        <v>52</v>
      </c>
      <c r="F35" s="362">
        <v>58.17</v>
      </c>
      <c r="G35" s="15">
        <v>801.96</v>
      </c>
      <c r="H35" s="179">
        <v>56.19</v>
      </c>
      <c r="I35" s="109"/>
      <c r="J35" s="116"/>
      <c r="K35" s="109"/>
      <c r="L35" s="116"/>
      <c r="M35" s="109"/>
      <c r="N35" s="116"/>
    </row>
    <row r="36" spans="1:14" ht="12.75" customHeight="1">
      <c r="A36" s="440"/>
      <c r="B36" s="83" t="s">
        <v>101</v>
      </c>
      <c r="C36" s="68">
        <v>0</v>
      </c>
      <c r="D36" s="173">
        <f>(6.15+0.871+0.437+0.015)*1.075*1.2</f>
        <v>9.640170000000001</v>
      </c>
      <c r="E36" s="436"/>
      <c r="F36" s="431"/>
      <c r="G36" s="424">
        <v>0</v>
      </c>
      <c r="H36" s="426">
        <v>6.91</v>
      </c>
      <c r="I36" s="110"/>
      <c r="J36" s="117"/>
      <c r="K36" s="110"/>
      <c r="L36" s="117"/>
      <c r="M36" s="110"/>
      <c r="N36" s="117"/>
    </row>
    <row r="37" spans="1:14" ht="12.75" customHeight="1" thickBot="1">
      <c r="A37" s="440"/>
      <c r="B37" s="83" t="s">
        <v>113</v>
      </c>
      <c r="C37" s="115">
        <v>17.25</v>
      </c>
      <c r="D37" s="175">
        <f>49.863*1.075*1.2</f>
        <v>64.32327</v>
      </c>
      <c r="E37" s="436"/>
      <c r="F37" s="431"/>
      <c r="G37" s="425"/>
      <c r="H37" s="427"/>
      <c r="I37" s="111"/>
      <c r="J37" s="118"/>
      <c r="K37" s="111"/>
      <c r="L37" s="118"/>
      <c r="M37" s="111"/>
      <c r="N37" s="118"/>
    </row>
    <row r="38" spans="1:14" ht="13.5" thickTop="1">
      <c r="A38" s="439" t="s">
        <v>24</v>
      </c>
      <c r="B38" s="113" t="s">
        <v>94</v>
      </c>
      <c r="C38" s="249">
        <v>1800</v>
      </c>
      <c r="D38" s="172">
        <f>(9.7+3.879+0.437+0.015)*1.075*1.2</f>
        <v>18.09999</v>
      </c>
      <c r="E38" s="370">
        <f>39+3</f>
        <v>42</v>
      </c>
      <c r="F38" s="362">
        <v>58.17</v>
      </c>
      <c r="G38" s="15">
        <v>801.96</v>
      </c>
      <c r="H38" s="179">
        <v>56.19</v>
      </c>
      <c r="I38" s="109"/>
      <c r="J38" s="116"/>
      <c r="K38" s="109"/>
      <c r="L38" s="116"/>
      <c r="M38" s="109"/>
      <c r="N38" s="116"/>
    </row>
    <row r="39" spans="1:14" ht="15" customHeight="1">
      <c r="A39" s="440"/>
      <c r="B39" s="114" t="s">
        <v>101</v>
      </c>
      <c r="C39" s="110">
        <v>0</v>
      </c>
      <c r="D39" s="173">
        <f>(6.15+0.97+0.437+0.015)*1.075*1.2</f>
        <v>9.767879999999998</v>
      </c>
      <c r="E39" s="453"/>
      <c r="F39" s="431"/>
      <c r="G39" s="424">
        <v>9836</v>
      </c>
      <c r="H39" s="426">
        <v>6.91</v>
      </c>
      <c r="I39" s="110"/>
      <c r="J39" s="117"/>
      <c r="K39" s="110"/>
      <c r="L39" s="117"/>
      <c r="M39" s="110"/>
      <c r="N39" s="117"/>
    </row>
    <row r="40" spans="1:14" ht="15" customHeight="1" thickBot="1">
      <c r="A40" s="440"/>
      <c r="B40" s="114" t="s">
        <v>113</v>
      </c>
      <c r="C40" s="110">
        <v>17.25</v>
      </c>
      <c r="D40" s="175">
        <f>54.258*1.075*1.2</f>
        <v>69.99282</v>
      </c>
      <c r="E40" s="453"/>
      <c r="F40" s="431"/>
      <c r="G40" s="425"/>
      <c r="H40" s="427"/>
      <c r="I40" s="111"/>
      <c r="J40" s="118"/>
      <c r="K40" s="111"/>
      <c r="L40" s="118"/>
      <c r="M40" s="111"/>
      <c r="N40" s="118"/>
    </row>
    <row r="41" spans="1:14" ht="13.5" thickTop="1">
      <c r="A41" s="439" t="s">
        <v>25</v>
      </c>
      <c r="B41" s="113" t="s">
        <v>94</v>
      </c>
      <c r="C41" s="250">
        <v>2360</v>
      </c>
      <c r="D41" s="172">
        <f>(9.7+3.879+0.437+0.015)*1.075*1.2</f>
        <v>18.09999</v>
      </c>
      <c r="E41" s="370">
        <f>36</f>
        <v>36</v>
      </c>
      <c r="F41" s="362">
        <v>58.17</v>
      </c>
      <c r="G41" s="15">
        <v>801.96</v>
      </c>
      <c r="H41" s="179">
        <v>56.19</v>
      </c>
      <c r="I41" s="109"/>
      <c r="J41" s="116"/>
      <c r="K41" s="109"/>
      <c r="L41" s="116"/>
      <c r="M41" s="109"/>
      <c r="N41" s="116"/>
    </row>
    <row r="42" spans="1:14" ht="15" customHeight="1">
      <c r="A42" s="440"/>
      <c r="B42" s="114" t="s">
        <v>101</v>
      </c>
      <c r="C42" s="128">
        <v>0</v>
      </c>
      <c r="D42" s="173">
        <f>(6.15+0.97+0.437+0.015)*1.075*1.2</f>
        <v>9.767879999999998</v>
      </c>
      <c r="E42" s="453"/>
      <c r="F42" s="431"/>
      <c r="G42" s="424">
        <v>13562</v>
      </c>
      <c r="H42" s="426">
        <v>6.91</v>
      </c>
      <c r="I42" s="110"/>
      <c r="J42" s="117"/>
      <c r="K42" s="110"/>
      <c r="L42" s="117"/>
      <c r="M42" s="110"/>
      <c r="N42" s="117"/>
    </row>
    <row r="43" spans="1:14" ht="15" customHeight="1" thickBot="1">
      <c r="A43" s="440"/>
      <c r="B43" s="114" t="s">
        <v>113</v>
      </c>
      <c r="C43" s="255">
        <v>17.25</v>
      </c>
      <c r="D43" s="175">
        <f>54.258*1.075*1.2</f>
        <v>69.99282</v>
      </c>
      <c r="E43" s="453"/>
      <c r="F43" s="431"/>
      <c r="G43" s="425"/>
      <c r="H43" s="427"/>
      <c r="I43" s="111"/>
      <c r="J43" s="118"/>
      <c r="K43" s="111"/>
      <c r="L43" s="118"/>
      <c r="M43" s="111"/>
      <c r="N43" s="118"/>
    </row>
    <row r="44" spans="1:14" ht="13.5" thickTop="1">
      <c r="A44" s="447" t="s">
        <v>26</v>
      </c>
      <c r="B44" s="113" t="s">
        <v>94</v>
      </c>
      <c r="C44" s="250">
        <v>1940</v>
      </c>
      <c r="D44" s="172">
        <f>(9.7+3.879+0.437+0.015)*1.075*1.2</f>
        <v>18.09999</v>
      </c>
      <c r="E44" s="450">
        <v>49</v>
      </c>
      <c r="F44" s="432">
        <v>58.17</v>
      </c>
      <c r="G44" s="15">
        <v>801.96</v>
      </c>
      <c r="H44" s="179">
        <v>56.19</v>
      </c>
      <c r="I44" s="109"/>
      <c r="J44" s="116"/>
      <c r="K44" s="109"/>
      <c r="L44" s="116"/>
      <c r="M44" s="109"/>
      <c r="N44" s="116"/>
    </row>
    <row r="45" spans="1:14" ht="15" customHeight="1">
      <c r="A45" s="448"/>
      <c r="B45" s="114" t="s">
        <v>101</v>
      </c>
      <c r="C45" s="128">
        <v>0</v>
      </c>
      <c r="D45" s="173">
        <f>(6.15+0.97+0.437+0.015)*1.075*1.2</f>
        <v>9.767879999999998</v>
      </c>
      <c r="E45" s="451"/>
      <c r="F45" s="433"/>
      <c r="G45" s="428">
        <v>17914</v>
      </c>
      <c r="H45" s="426">
        <v>6.91</v>
      </c>
      <c r="I45" s="110"/>
      <c r="J45" s="117"/>
      <c r="K45" s="110"/>
      <c r="L45" s="117"/>
      <c r="M45" s="110"/>
      <c r="N45" s="117"/>
    </row>
    <row r="46" spans="1:14" ht="15" customHeight="1" thickBot="1">
      <c r="A46" s="449"/>
      <c r="B46" s="174" t="s">
        <v>113</v>
      </c>
      <c r="C46" s="255">
        <v>17.25</v>
      </c>
      <c r="D46" s="175">
        <f>54.258*1.075*1.2</f>
        <v>69.99282</v>
      </c>
      <c r="E46" s="452"/>
      <c r="F46" s="434"/>
      <c r="G46" s="429"/>
      <c r="H46" s="427"/>
      <c r="I46" s="111"/>
      <c r="J46" s="118"/>
      <c r="K46" s="111"/>
      <c r="L46" s="118"/>
      <c r="M46" s="111"/>
      <c r="N46" s="118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7" customFormat="1" ht="12.75">
      <c r="A48" s="347" t="s">
        <v>32</v>
      </c>
      <c r="B48" s="347"/>
      <c r="C48" s="347"/>
      <c r="D48" s="348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47" t="s">
        <v>35</v>
      </c>
      <c r="C50" s="347"/>
      <c r="D50" s="347"/>
      <c r="E50" s="348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47" t="s">
        <v>34</v>
      </c>
      <c r="C51" s="347"/>
      <c r="D51" s="347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"/>
      <c r="L52" s="1"/>
      <c r="M52" s="1"/>
      <c r="N52" s="1"/>
    </row>
  </sheetData>
  <sheetProtection/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5:G46"/>
    <mergeCell ref="H45:H46"/>
    <mergeCell ref="G36:G37"/>
    <mergeCell ref="H36:H37"/>
    <mergeCell ref="G39:G40"/>
    <mergeCell ref="H39:H40"/>
    <mergeCell ref="G42:G43"/>
    <mergeCell ref="H42:H43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9">
      <selection activeCell="C35" sqref="C35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20" customFormat="1" ht="15">
      <c r="A1" s="19" t="s">
        <v>41</v>
      </c>
      <c r="B1" s="17" t="s">
        <v>46</v>
      </c>
      <c r="C1" s="17"/>
      <c r="D1" s="18"/>
      <c r="E1" s="18">
        <v>50190</v>
      </c>
      <c r="F1" s="18"/>
      <c r="G1" s="18"/>
      <c r="H1" s="17" t="s">
        <v>29</v>
      </c>
      <c r="I1" s="17"/>
      <c r="J1" s="17"/>
      <c r="K1" s="18">
        <v>946</v>
      </c>
      <c r="L1" s="18"/>
      <c r="M1" s="16"/>
    </row>
    <row r="2" spans="1:13" s="20" customFormat="1" ht="15">
      <c r="A2" s="17" t="s">
        <v>1</v>
      </c>
      <c r="B2" s="17" t="s">
        <v>54</v>
      </c>
      <c r="C2" s="17"/>
      <c r="D2" s="18"/>
      <c r="E2" s="18"/>
      <c r="F2" s="18"/>
      <c r="G2" s="18"/>
      <c r="H2" s="17" t="s">
        <v>2</v>
      </c>
      <c r="I2" s="17"/>
      <c r="J2" s="17"/>
      <c r="K2" s="18">
        <v>7</v>
      </c>
      <c r="L2" s="18"/>
      <c r="M2" s="16"/>
    </row>
    <row r="3" spans="1:13" s="20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7" t="s">
        <v>3</v>
      </c>
      <c r="I3" s="17"/>
      <c r="J3" s="17"/>
      <c r="K3" s="18">
        <v>3</v>
      </c>
      <c r="L3" s="18"/>
      <c r="M3" s="16"/>
    </row>
    <row r="4" spans="1:14" s="20" customFormat="1" ht="15">
      <c r="A4" s="17" t="s">
        <v>4</v>
      </c>
      <c r="B4" s="17">
        <v>184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5"/>
      <c r="B10" s="331"/>
      <c r="C10" s="453"/>
      <c r="D10" s="431"/>
      <c r="E10" s="445"/>
      <c r="F10" s="345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73" t="s">
        <v>16</v>
      </c>
      <c r="B11" s="238" t="s">
        <v>94</v>
      </c>
      <c r="C11" s="184">
        <v>660</v>
      </c>
      <c r="D11" s="185">
        <f>(5.66+2.789+0.437+0.015)*1.075*1.2</f>
        <v>11.482289999999999</v>
      </c>
      <c r="E11" s="458">
        <v>13</v>
      </c>
      <c r="F11" s="459">
        <v>52.47</v>
      </c>
      <c r="G11" s="191">
        <v>846.5</v>
      </c>
      <c r="H11" s="186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369"/>
      <c r="B12" s="81" t="s">
        <v>111</v>
      </c>
      <c r="C12" s="187">
        <v>17.25</v>
      </c>
      <c r="D12" s="188">
        <f>49.291*1.075*1.2</f>
        <v>63.58538999999999</v>
      </c>
      <c r="E12" s="336"/>
      <c r="F12" s="457"/>
      <c r="G12" s="260">
        <v>27921</v>
      </c>
      <c r="H12" s="189">
        <v>6.91</v>
      </c>
      <c r="I12" s="6"/>
      <c r="J12" s="7"/>
      <c r="K12" s="6"/>
      <c r="L12" s="7"/>
      <c r="M12" s="6"/>
      <c r="N12" s="7"/>
    </row>
    <row r="13" spans="1:14" ht="15" customHeight="1">
      <c r="A13" s="368" t="s">
        <v>17</v>
      </c>
      <c r="B13" s="80" t="s">
        <v>94</v>
      </c>
      <c r="C13" s="106">
        <v>0</v>
      </c>
      <c r="D13" s="185">
        <f>(5.66+3.049+0.437+0.015)*1.075*1.2</f>
        <v>11.817689999999999</v>
      </c>
      <c r="E13" s="335">
        <v>125</v>
      </c>
      <c r="F13" s="454">
        <v>52.47</v>
      </c>
      <c r="G13" s="191">
        <v>846.5</v>
      </c>
      <c r="H13" s="186">
        <v>56.19</v>
      </c>
      <c r="I13" s="9"/>
      <c r="J13" s="10"/>
      <c r="K13" s="9"/>
      <c r="L13" s="10"/>
      <c r="M13" s="9"/>
      <c r="N13" s="10"/>
    </row>
    <row r="14" spans="1:14" ht="15" customHeight="1" thickBot="1">
      <c r="A14" s="369"/>
      <c r="B14" s="81" t="s">
        <v>111</v>
      </c>
      <c r="C14" s="187">
        <v>17.25</v>
      </c>
      <c r="D14" s="188">
        <f>49.863*1.075*1.2</f>
        <v>64.32327</v>
      </c>
      <c r="E14" s="336"/>
      <c r="F14" s="455"/>
      <c r="G14" s="260">
        <v>27162</v>
      </c>
      <c r="H14" s="189">
        <v>6.91</v>
      </c>
      <c r="I14" s="12"/>
      <c r="J14" s="13"/>
      <c r="K14" s="12"/>
      <c r="L14" s="13"/>
      <c r="M14" s="12"/>
      <c r="N14" s="13"/>
    </row>
    <row r="15" spans="1:14" ht="15" customHeight="1">
      <c r="A15" s="368" t="s">
        <v>18</v>
      </c>
      <c r="B15" s="80" t="s">
        <v>94</v>
      </c>
      <c r="C15" s="106">
        <v>3480</v>
      </c>
      <c r="D15" s="185">
        <f>(5.66+3.049+0.437+0.015)*1.075*1.2</f>
        <v>11.817689999999999</v>
      </c>
      <c r="E15" s="335">
        <v>29</v>
      </c>
      <c r="F15" s="454">
        <v>52.47</v>
      </c>
      <c r="G15" s="191">
        <v>846.5</v>
      </c>
      <c r="H15" s="186">
        <v>56.19</v>
      </c>
      <c r="I15" s="9"/>
      <c r="J15" s="10"/>
      <c r="K15" s="9"/>
      <c r="L15" s="10"/>
      <c r="M15" s="9"/>
      <c r="N15" s="10"/>
    </row>
    <row r="16" spans="1:14" ht="15" customHeight="1" thickBot="1">
      <c r="A16" s="369"/>
      <c r="B16" s="81" t="s">
        <v>111</v>
      </c>
      <c r="C16" s="187">
        <v>17.25</v>
      </c>
      <c r="D16" s="188">
        <f>49.863*1.075*1.2</f>
        <v>64.32327</v>
      </c>
      <c r="E16" s="336"/>
      <c r="F16" s="455"/>
      <c r="G16" s="190">
        <v>29591</v>
      </c>
      <c r="H16" s="189">
        <v>6.91</v>
      </c>
      <c r="I16" s="12"/>
      <c r="J16" s="13"/>
      <c r="K16" s="12"/>
      <c r="L16" s="13"/>
      <c r="M16" s="12"/>
      <c r="N16" s="13"/>
    </row>
    <row r="17" spans="1:14" ht="15" customHeight="1">
      <c r="A17" s="368" t="s">
        <v>19</v>
      </c>
      <c r="B17" s="80" t="s">
        <v>94</v>
      </c>
      <c r="C17" s="106">
        <v>1920</v>
      </c>
      <c r="D17" s="185">
        <f>(5.66+3.049+0.437+0.015)*1.075*1.2</f>
        <v>11.817689999999999</v>
      </c>
      <c r="E17" s="335">
        <f>29+6</f>
        <v>35</v>
      </c>
      <c r="F17" s="454">
        <v>52.47</v>
      </c>
      <c r="G17" s="191">
        <v>846.5</v>
      </c>
      <c r="H17" s="186">
        <v>56.19</v>
      </c>
      <c r="I17" s="9"/>
      <c r="J17" s="10"/>
      <c r="K17" s="9"/>
      <c r="L17" s="10"/>
      <c r="M17" s="9"/>
      <c r="N17" s="10"/>
    </row>
    <row r="18" spans="1:14" ht="13.5" thickBot="1">
      <c r="A18" s="369"/>
      <c r="B18" s="81" t="s">
        <v>111</v>
      </c>
      <c r="C18" s="187">
        <v>17.25</v>
      </c>
      <c r="D18" s="188">
        <f>49.863*1.075*1.2</f>
        <v>64.32327</v>
      </c>
      <c r="E18" s="336"/>
      <c r="F18" s="455"/>
      <c r="G18" s="190">
        <v>20824</v>
      </c>
      <c r="H18" s="189">
        <v>6.91</v>
      </c>
      <c r="I18" s="12"/>
      <c r="J18" s="13"/>
      <c r="K18" s="12"/>
      <c r="L18" s="13"/>
      <c r="M18" s="12"/>
      <c r="N18" s="13"/>
    </row>
    <row r="19" spans="1:14" ht="12.75">
      <c r="A19" s="368" t="s">
        <v>20</v>
      </c>
      <c r="B19" s="80" t="s">
        <v>94</v>
      </c>
      <c r="C19" s="106">
        <v>1500</v>
      </c>
      <c r="D19" s="185">
        <f>(5.66+3.049+0.437+0.015)*1.075*1.2</f>
        <v>11.817689999999999</v>
      </c>
      <c r="E19" s="335">
        <f>155+12</f>
        <v>167</v>
      </c>
      <c r="F19" s="454">
        <v>52.47</v>
      </c>
      <c r="G19" s="191">
        <v>846.5</v>
      </c>
      <c r="H19" s="186">
        <v>56.19</v>
      </c>
      <c r="I19" s="9"/>
      <c r="J19" s="10"/>
      <c r="K19" s="9"/>
      <c r="L19" s="10"/>
      <c r="M19" s="9"/>
      <c r="N19" s="10"/>
    </row>
    <row r="20" spans="1:14" ht="13.5" thickBot="1">
      <c r="A20" s="369"/>
      <c r="B20" s="81" t="s">
        <v>111</v>
      </c>
      <c r="C20" s="187">
        <v>17.25</v>
      </c>
      <c r="D20" s="188">
        <f>49.863*1.075*1.2</f>
        <v>64.32327</v>
      </c>
      <c r="E20" s="336"/>
      <c r="F20" s="455"/>
      <c r="G20" s="190">
        <v>0</v>
      </c>
      <c r="H20" s="189">
        <v>6.91</v>
      </c>
      <c r="I20" s="12"/>
      <c r="J20" s="13"/>
      <c r="K20" s="12"/>
      <c r="L20" s="13"/>
      <c r="M20" s="12"/>
      <c r="N20" s="13"/>
    </row>
    <row r="21" spans="1:14" ht="12.75">
      <c r="A21" s="368" t="s">
        <v>68</v>
      </c>
      <c r="B21" s="80" t="s">
        <v>94</v>
      </c>
      <c r="C21" s="106">
        <v>1560</v>
      </c>
      <c r="D21" s="185">
        <f>(5.66+3.049+0.437+0.015)*1.075*1.2</f>
        <v>11.817689999999999</v>
      </c>
      <c r="E21" s="335">
        <f>158+46</f>
        <v>204</v>
      </c>
      <c r="F21" s="454">
        <v>52.47</v>
      </c>
      <c r="G21" s="191">
        <v>846.5</v>
      </c>
      <c r="H21" s="186">
        <v>56.19</v>
      </c>
      <c r="I21" s="9"/>
      <c r="J21" s="10"/>
      <c r="K21" s="9"/>
      <c r="L21" s="10"/>
      <c r="M21" s="9"/>
      <c r="N21" s="10"/>
    </row>
    <row r="22" spans="1:14" ht="13.5" thickBot="1">
      <c r="A22" s="369"/>
      <c r="B22" s="81" t="s">
        <v>111</v>
      </c>
      <c r="C22" s="187" t="s">
        <v>117</v>
      </c>
      <c r="D22" s="188">
        <f>49.863*1.075*1.2</f>
        <v>64.32327</v>
      </c>
      <c r="E22" s="336"/>
      <c r="F22" s="455"/>
      <c r="G22" s="190">
        <v>0</v>
      </c>
      <c r="H22" s="189">
        <v>6.91</v>
      </c>
      <c r="I22" s="12"/>
      <c r="J22" s="13"/>
      <c r="K22" s="12"/>
      <c r="L22" s="13"/>
      <c r="M22" s="12"/>
      <c r="N22" s="13"/>
    </row>
    <row r="23" spans="1:14" ht="12.75">
      <c r="A23" s="368" t="s">
        <v>69</v>
      </c>
      <c r="B23" s="80" t="s">
        <v>94</v>
      </c>
      <c r="C23" s="106">
        <v>1260</v>
      </c>
      <c r="D23" s="185">
        <f>(5.66+3.049+0.437+0.015)*1.075*1.2</f>
        <v>11.817689999999999</v>
      </c>
      <c r="E23" s="335">
        <f>23+1</f>
        <v>24</v>
      </c>
      <c r="F23" s="456">
        <v>52.47</v>
      </c>
      <c r="G23" s="191">
        <v>846.5</v>
      </c>
      <c r="H23" s="186">
        <v>56.19</v>
      </c>
      <c r="I23" s="9"/>
      <c r="J23" s="10"/>
      <c r="K23" s="9"/>
      <c r="L23" s="10"/>
      <c r="M23" s="9"/>
      <c r="N23" s="10"/>
    </row>
    <row r="24" spans="1:14" ht="13.5" thickBot="1">
      <c r="A24" s="369"/>
      <c r="B24" s="81" t="s">
        <v>111</v>
      </c>
      <c r="C24" s="187" t="s">
        <v>117</v>
      </c>
      <c r="D24" s="188">
        <f>49.863*1.075*1.2</f>
        <v>64.32327</v>
      </c>
      <c r="E24" s="336"/>
      <c r="F24" s="457"/>
      <c r="G24" s="190">
        <v>0</v>
      </c>
      <c r="H24" s="189">
        <v>6.91</v>
      </c>
      <c r="I24" s="12"/>
      <c r="J24" s="13"/>
      <c r="K24" s="12"/>
      <c r="L24" s="13"/>
      <c r="M24" s="12"/>
      <c r="N24" s="13"/>
    </row>
    <row r="25" spans="1:14" ht="15.75" customHeight="1">
      <c r="A25" s="368" t="s">
        <v>22</v>
      </c>
      <c r="B25" s="80" t="s">
        <v>94</v>
      </c>
      <c r="C25" s="106">
        <v>1320</v>
      </c>
      <c r="D25" s="185">
        <f>(5.66+3.049+0.437+0.015)*1.075*1.2</f>
        <v>11.817689999999999</v>
      </c>
      <c r="E25" s="335">
        <f>28+15</f>
        <v>43</v>
      </c>
      <c r="F25" s="456">
        <v>52.47</v>
      </c>
      <c r="G25" s="191">
        <v>846.5</v>
      </c>
      <c r="H25" s="186">
        <v>56.19</v>
      </c>
      <c r="I25" s="12"/>
      <c r="J25" s="13"/>
      <c r="K25" s="12"/>
      <c r="L25" s="13"/>
      <c r="M25" s="12"/>
      <c r="N25" s="13"/>
    </row>
    <row r="26" spans="1:14" ht="15" customHeight="1" thickBot="1">
      <c r="A26" s="369"/>
      <c r="B26" s="81" t="s">
        <v>111</v>
      </c>
      <c r="C26" s="187">
        <v>17.25</v>
      </c>
      <c r="D26" s="188">
        <f>49.863*1.075*1.2</f>
        <v>64.32327</v>
      </c>
      <c r="E26" s="336"/>
      <c r="F26" s="457"/>
      <c r="G26" s="190">
        <v>0</v>
      </c>
      <c r="H26" s="189">
        <v>6.91</v>
      </c>
      <c r="I26" s="4"/>
      <c r="J26" s="5"/>
      <c r="K26" s="4"/>
      <c r="L26" s="5"/>
      <c r="M26" s="4"/>
      <c r="N26" s="5"/>
    </row>
    <row r="27" spans="1:14" ht="12.75">
      <c r="A27" s="368" t="s">
        <v>23</v>
      </c>
      <c r="B27" s="80" t="s">
        <v>94</v>
      </c>
      <c r="C27" s="106">
        <v>1600</v>
      </c>
      <c r="D27" s="185">
        <f>(8.73+3.049+0.437+0.015)*1.075*1.2</f>
        <v>15.777989999999999</v>
      </c>
      <c r="E27" s="335">
        <f>71+37</f>
        <v>108</v>
      </c>
      <c r="F27" s="456">
        <v>58.17</v>
      </c>
      <c r="G27" s="191">
        <v>846.5</v>
      </c>
      <c r="H27" s="186">
        <v>56.19</v>
      </c>
      <c r="I27" s="4"/>
      <c r="J27" s="5"/>
      <c r="K27" s="4"/>
      <c r="L27" s="5"/>
      <c r="M27" s="4"/>
      <c r="N27" s="5"/>
    </row>
    <row r="28" spans="1:14" ht="13.5" thickBot="1">
      <c r="A28" s="369"/>
      <c r="B28" s="81" t="s">
        <v>111</v>
      </c>
      <c r="C28" s="187">
        <v>17.25</v>
      </c>
      <c r="D28" s="188">
        <f>49.863*1.075*1.2</f>
        <v>64.32327</v>
      </c>
      <c r="E28" s="336"/>
      <c r="F28" s="457"/>
      <c r="G28" s="190">
        <v>0</v>
      </c>
      <c r="H28" s="189">
        <v>6.91</v>
      </c>
      <c r="I28" s="4"/>
      <c r="J28" s="5"/>
      <c r="K28" s="4"/>
      <c r="L28" s="5"/>
      <c r="M28" s="4"/>
      <c r="N28" s="5"/>
    </row>
    <row r="29" spans="1:14" ht="12.75">
      <c r="A29" s="368" t="s">
        <v>24</v>
      </c>
      <c r="B29" s="80" t="s">
        <v>94</v>
      </c>
      <c r="C29" s="106">
        <v>1840</v>
      </c>
      <c r="D29" s="185">
        <f>(8.73+3.394+0.437+0.015)*1.075*1.2</f>
        <v>16.223039999999997</v>
      </c>
      <c r="E29" s="335">
        <f>101+60</f>
        <v>161</v>
      </c>
      <c r="F29" s="456">
        <v>58.17</v>
      </c>
      <c r="G29" s="191">
        <v>846.5</v>
      </c>
      <c r="H29" s="186">
        <v>56.19</v>
      </c>
      <c r="I29" s="4"/>
      <c r="J29" s="5"/>
      <c r="K29" s="4"/>
      <c r="L29" s="5"/>
      <c r="M29" s="4"/>
      <c r="N29" s="5"/>
    </row>
    <row r="30" spans="1:14" ht="13.5" thickBot="1">
      <c r="A30" s="369"/>
      <c r="B30" s="81" t="s">
        <v>111</v>
      </c>
      <c r="C30" s="187">
        <v>17.25</v>
      </c>
      <c r="D30" s="188">
        <f>54.258*1.075*1.2</f>
        <v>69.99282</v>
      </c>
      <c r="E30" s="336"/>
      <c r="F30" s="457"/>
      <c r="G30" s="190">
        <v>13035</v>
      </c>
      <c r="H30" s="189">
        <v>6.91</v>
      </c>
      <c r="I30" s="4"/>
      <c r="J30" s="5"/>
      <c r="K30" s="4"/>
      <c r="L30" s="5"/>
      <c r="M30" s="4"/>
      <c r="N30" s="5"/>
    </row>
    <row r="31" spans="1:14" ht="12.75">
      <c r="A31" s="368" t="s">
        <v>25</v>
      </c>
      <c r="B31" s="80" t="s">
        <v>94</v>
      </c>
      <c r="C31" s="106">
        <v>0</v>
      </c>
      <c r="D31" s="185">
        <f>(8.73+3.394+0.437+0.015)*1.075*1.2</f>
        <v>16.223039999999997</v>
      </c>
      <c r="E31" s="335">
        <f>35+16</f>
        <v>51</v>
      </c>
      <c r="F31" s="456">
        <v>58.17</v>
      </c>
      <c r="G31" s="191">
        <v>846.5</v>
      </c>
      <c r="H31" s="186">
        <v>56.19</v>
      </c>
      <c r="I31" s="4"/>
      <c r="J31" s="5"/>
      <c r="K31" s="4"/>
      <c r="L31" s="5"/>
      <c r="M31" s="4"/>
      <c r="N31" s="5"/>
    </row>
    <row r="32" spans="1:14" ht="13.5" thickBot="1">
      <c r="A32" s="369"/>
      <c r="B32" s="81" t="s">
        <v>111</v>
      </c>
      <c r="C32" s="187">
        <v>17.25</v>
      </c>
      <c r="D32" s="188">
        <f>54.258*1.075*1.2</f>
        <v>69.99282</v>
      </c>
      <c r="E32" s="336"/>
      <c r="F32" s="457"/>
      <c r="G32" s="190">
        <v>15963</v>
      </c>
      <c r="H32" s="189">
        <v>6.91</v>
      </c>
      <c r="I32" s="4"/>
      <c r="J32" s="5"/>
      <c r="K32" s="4"/>
      <c r="L32" s="5"/>
      <c r="M32" s="4"/>
      <c r="N32" s="5"/>
    </row>
    <row r="33" spans="1:14" ht="12.75">
      <c r="A33" s="368" t="s">
        <v>26</v>
      </c>
      <c r="B33" s="80" t="s">
        <v>94</v>
      </c>
      <c r="C33" s="253">
        <v>3940</v>
      </c>
      <c r="D33" s="185">
        <f>(8.73+3.394+0.437+0.015)*1.075*1.2</f>
        <v>16.223039999999997</v>
      </c>
      <c r="E33" s="335">
        <v>47</v>
      </c>
      <c r="F33" s="456">
        <v>58.17</v>
      </c>
      <c r="G33" s="191">
        <v>846.5</v>
      </c>
      <c r="H33" s="186">
        <v>56.19</v>
      </c>
      <c r="I33" s="9"/>
      <c r="J33" s="10"/>
      <c r="K33" s="9"/>
      <c r="L33" s="10"/>
      <c r="M33" s="9"/>
      <c r="N33" s="10"/>
    </row>
    <row r="34" spans="1:14" ht="13.5" thickBot="1">
      <c r="A34" s="333"/>
      <c r="B34" s="81" t="s">
        <v>111</v>
      </c>
      <c r="C34" s="254">
        <v>17.25</v>
      </c>
      <c r="D34" s="188">
        <f>54.258*1.075*1.2</f>
        <v>69.99282</v>
      </c>
      <c r="E34" s="460"/>
      <c r="F34" s="461"/>
      <c r="G34" s="260">
        <v>31155</v>
      </c>
      <c r="H34" s="189">
        <v>6.91</v>
      </c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347" t="s">
        <v>32</v>
      </c>
      <c r="B36" s="347"/>
      <c r="C36" s="347"/>
      <c r="D36" s="348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 t="s">
        <v>33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347" t="s">
        <v>35</v>
      </c>
      <c r="C38" s="347"/>
      <c r="D38" s="347"/>
      <c r="E38" s="348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347" t="s">
        <v>34</v>
      </c>
      <c r="C39" s="347"/>
      <c r="D39" s="347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"/>
      <c r="J40" s="1"/>
      <c r="K40" s="1"/>
      <c r="L40" s="1"/>
      <c r="M40" s="1"/>
      <c r="N40" s="1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  <row r="44" spans="1:8" ht="14.25">
      <c r="A44" s="20"/>
      <c r="B44" s="20"/>
      <c r="C44" s="20"/>
      <c r="D44" s="20"/>
      <c r="E44" s="20"/>
      <c r="F44" s="20"/>
      <c r="G44" s="20"/>
      <c r="H44" s="20"/>
    </row>
    <row r="45" spans="1:8" ht="14.25">
      <c r="A45" s="20"/>
      <c r="B45" s="20"/>
      <c r="C45" s="20"/>
      <c r="D45" s="20"/>
      <c r="E45" s="20"/>
      <c r="F45" s="20"/>
      <c r="G45" s="20"/>
      <c r="H45" s="20"/>
    </row>
  </sheetData>
  <sheetProtection/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31">
      <selection activeCell="C45" sqref="C45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19" t="s">
        <v>41</v>
      </c>
      <c r="B1" s="17" t="s">
        <v>44</v>
      </c>
      <c r="C1" s="17"/>
      <c r="E1" s="18">
        <v>50789</v>
      </c>
      <c r="F1" s="18"/>
      <c r="G1" s="18"/>
      <c r="H1" s="18"/>
      <c r="I1" s="471" t="s">
        <v>29</v>
      </c>
      <c r="J1" s="471"/>
      <c r="K1" s="471"/>
      <c r="L1" s="28">
        <v>1122</v>
      </c>
      <c r="M1" s="18"/>
      <c r="N1" s="16"/>
      <c r="O1" s="20"/>
    </row>
    <row r="2" spans="1:15" ht="15">
      <c r="A2" s="17" t="s">
        <v>1</v>
      </c>
      <c r="B2" s="17" t="s">
        <v>53</v>
      </c>
      <c r="C2" s="17"/>
      <c r="D2" s="18"/>
      <c r="E2" s="18"/>
      <c r="F2" s="18"/>
      <c r="G2" s="18"/>
      <c r="H2" s="18"/>
      <c r="I2" s="471" t="s">
        <v>2</v>
      </c>
      <c r="J2" s="471"/>
      <c r="K2" s="471"/>
      <c r="L2" s="18">
        <v>9</v>
      </c>
      <c r="M2" s="18"/>
      <c r="N2" s="16"/>
      <c r="O2" s="20"/>
    </row>
    <row r="3" spans="1:15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71" t="s">
        <v>3</v>
      </c>
      <c r="J3" s="471"/>
      <c r="K3" s="471"/>
      <c r="L3" s="18">
        <v>2</v>
      </c>
      <c r="M3" s="18"/>
      <c r="N3" s="16"/>
      <c r="O3" s="20"/>
    </row>
    <row r="4" spans="1:14" ht="15">
      <c r="A4" s="17" t="s">
        <v>4</v>
      </c>
      <c r="B4" s="17">
        <v>212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4" ht="15.75" thickBot="1">
      <c r="A5" s="18"/>
      <c r="B5" s="18"/>
      <c r="C5" s="18"/>
      <c r="D5" s="18"/>
      <c r="E5" s="18"/>
      <c r="F5" s="18"/>
      <c r="G5" s="18"/>
      <c r="H5" s="18"/>
      <c r="I5" s="18"/>
      <c r="J5" s="35"/>
      <c r="K5" s="35" t="s">
        <v>65</v>
      </c>
      <c r="L5" s="35"/>
      <c r="M5" s="16"/>
      <c r="N5" s="20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5"/>
      <c r="B10" s="442"/>
      <c r="C10" s="356"/>
      <c r="D10" s="345"/>
      <c r="E10" s="445"/>
      <c r="F10" s="345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70" t="s">
        <v>16</v>
      </c>
      <c r="B11" s="80" t="s">
        <v>94</v>
      </c>
      <c r="C11" s="171">
        <v>1950</v>
      </c>
      <c r="D11" s="172">
        <f>(6.29+3.187+0.437+0.015)*1.075*1.2</f>
        <v>12.808409999999999</v>
      </c>
      <c r="E11" s="444">
        <f>233</f>
        <v>233</v>
      </c>
      <c r="F11" s="344">
        <v>52.47</v>
      </c>
      <c r="G11" s="15">
        <v>717.85</v>
      </c>
      <c r="H11" s="10">
        <v>56.19</v>
      </c>
      <c r="I11" s="6"/>
      <c r="J11" s="7"/>
      <c r="K11" s="6"/>
      <c r="L11" s="7"/>
      <c r="M11" s="6"/>
      <c r="N11" s="7"/>
    </row>
    <row r="12" spans="1:14" ht="15.75" customHeight="1">
      <c r="A12" s="440"/>
      <c r="B12" s="83" t="s">
        <v>101</v>
      </c>
      <c r="C12" s="88">
        <v>0</v>
      </c>
      <c r="D12" s="173">
        <f>(4.04+0.797+0.437+0.015)*1.075*1.2</f>
        <v>6.82281</v>
      </c>
      <c r="E12" s="436"/>
      <c r="F12" s="431"/>
      <c r="G12" s="428">
        <v>36630</v>
      </c>
      <c r="H12" s="431">
        <v>6.91</v>
      </c>
      <c r="I12" s="6"/>
      <c r="J12" s="7"/>
      <c r="K12" s="6"/>
      <c r="L12" s="7"/>
      <c r="M12" s="6"/>
      <c r="N12" s="7"/>
    </row>
    <row r="13" spans="1:14" ht="15.75" customHeight="1" thickBot="1">
      <c r="A13" s="440"/>
      <c r="B13" s="83" t="s">
        <v>113</v>
      </c>
      <c r="C13" s="144">
        <v>17.25</v>
      </c>
      <c r="D13" s="175">
        <f>49.291*1.075*1.2</f>
        <v>63.58538999999999</v>
      </c>
      <c r="E13" s="436"/>
      <c r="F13" s="431"/>
      <c r="G13" s="429"/>
      <c r="H13" s="363"/>
      <c r="I13" s="6"/>
      <c r="J13" s="7"/>
      <c r="K13" s="6"/>
      <c r="L13" s="7"/>
      <c r="M13" s="6"/>
      <c r="N13" s="7"/>
    </row>
    <row r="14" spans="1:14" ht="15.75" customHeight="1">
      <c r="A14" s="439" t="s">
        <v>17</v>
      </c>
      <c r="B14" s="80" t="s">
        <v>94</v>
      </c>
      <c r="C14" s="162">
        <v>2370</v>
      </c>
      <c r="D14" s="172">
        <f>(6.29+3.485+0.437+0.015)*1.075*1.2</f>
        <v>13.19283</v>
      </c>
      <c r="E14" s="395">
        <v>624</v>
      </c>
      <c r="F14" s="464">
        <v>52.47</v>
      </c>
      <c r="G14" s="15">
        <v>717.85</v>
      </c>
      <c r="H14" s="10">
        <v>56.19</v>
      </c>
      <c r="I14" s="9"/>
      <c r="J14" s="10"/>
      <c r="K14" s="9"/>
      <c r="L14" s="10"/>
      <c r="M14" s="9"/>
      <c r="N14" s="10"/>
    </row>
    <row r="15" spans="1:14" ht="15.75" customHeight="1">
      <c r="A15" s="440"/>
      <c r="B15" s="83" t="s">
        <v>101</v>
      </c>
      <c r="C15" s="91">
        <v>0</v>
      </c>
      <c r="D15" s="173">
        <f>(4.04+0.871+0.437+0.015)*1.075*1.2</f>
        <v>6.918269999999999</v>
      </c>
      <c r="E15" s="312"/>
      <c r="F15" s="465"/>
      <c r="G15" s="428">
        <v>35370</v>
      </c>
      <c r="H15" s="431">
        <v>6.91</v>
      </c>
      <c r="I15" s="6"/>
      <c r="J15" s="7"/>
      <c r="K15" s="6"/>
      <c r="L15" s="7"/>
      <c r="M15" s="6"/>
      <c r="N15" s="7"/>
    </row>
    <row r="16" spans="1:14" ht="15.75" customHeight="1" thickBot="1">
      <c r="A16" s="440"/>
      <c r="B16" s="83" t="s">
        <v>113</v>
      </c>
      <c r="C16" s="91">
        <v>17.25</v>
      </c>
      <c r="D16" s="175">
        <f>49.863*1.075*1.2</f>
        <v>64.32327</v>
      </c>
      <c r="E16" s="312"/>
      <c r="F16" s="465"/>
      <c r="G16" s="429"/>
      <c r="H16" s="363"/>
      <c r="I16" s="6"/>
      <c r="J16" s="7"/>
      <c r="K16" s="6"/>
      <c r="L16" s="7"/>
      <c r="M16" s="6"/>
      <c r="N16" s="7"/>
    </row>
    <row r="17" spans="1:14" ht="15.75" customHeight="1">
      <c r="A17" s="439" t="s">
        <v>18</v>
      </c>
      <c r="B17" s="80" t="s">
        <v>94</v>
      </c>
      <c r="C17" s="162">
        <v>2490</v>
      </c>
      <c r="D17" s="172">
        <f>(6.29+3.485+0.437+0.015)*1.075*1.2</f>
        <v>13.19283</v>
      </c>
      <c r="E17" s="435">
        <v>378</v>
      </c>
      <c r="F17" s="464">
        <v>52.47</v>
      </c>
      <c r="G17" s="15">
        <v>717.85</v>
      </c>
      <c r="H17" s="10">
        <v>56.19</v>
      </c>
      <c r="I17" s="9"/>
      <c r="J17" s="10"/>
      <c r="K17" s="9"/>
      <c r="L17" s="10"/>
      <c r="M17" s="9"/>
      <c r="N17" s="10"/>
    </row>
    <row r="18" spans="1:14" ht="15.75" customHeight="1">
      <c r="A18" s="440"/>
      <c r="B18" s="83" t="s">
        <v>101</v>
      </c>
      <c r="C18" s="91">
        <v>0</v>
      </c>
      <c r="D18" s="173">
        <f>(4.04+0.871+0.437+0.015)*1.075*1.2</f>
        <v>6.918269999999999</v>
      </c>
      <c r="E18" s="436"/>
      <c r="F18" s="465"/>
      <c r="G18" s="424">
        <v>36620</v>
      </c>
      <c r="H18" s="431">
        <v>6.91</v>
      </c>
      <c r="I18" s="6"/>
      <c r="J18" s="7"/>
      <c r="K18" s="6"/>
      <c r="L18" s="7"/>
      <c r="M18" s="6"/>
      <c r="N18" s="7"/>
    </row>
    <row r="19" spans="1:14" ht="15.75" customHeight="1" thickBot="1">
      <c r="A19" s="440"/>
      <c r="B19" s="83" t="s">
        <v>113</v>
      </c>
      <c r="C19" s="91">
        <v>17.25</v>
      </c>
      <c r="D19" s="175">
        <f>49.863*1.075*1.2</f>
        <v>64.32327</v>
      </c>
      <c r="E19" s="436"/>
      <c r="F19" s="465"/>
      <c r="G19" s="425"/>
      <c r="H19" s="363"/>
      <c r="I19" s="6"/>
      <c r="J19" s="7"/>
      <c r="K19" s="6"/>
      <c r="L19" s="7"/>
      <c r="M19" s="6"/>
      <c r="N19" s="7"/>
    </row>
    <row r="20" spans="1:14" ht="15" customHeight="1">
      <c r="A20" s="439" t="s">
        <v>19</v>
      </c>
      <c r="B20" s="80" t="s">
        <v>94</v>
      </c>
      <c r="C20" s="162">
        <v>2730</v>
      </c>
      <c r="D20" s="172">
        <f>(6.29+3.485+0.437+0.015)*1.075*1.2</f>
        <v>13.19283</v>
      </c>
      <c r="E20" s="435">
        <v>60</v>
      </c>
      <c r="F20" s="464">
        <v>52.47</v>
      </c>
      <c r="G20" s="15">
        <v>717.85</v>
      </c>
      <c r="H20" s="10">
        <v>56.19</v>
      </c>
      <c r="I20" s="9"/>
      <c r="J20" s="10"/>
      <c r="K20" s="9"/>
      <c r="L20" s="10"/>
      <c r="M20" s="9"/>
      <c r="N20" s="10"/>
    </row>
    <row r="21" spans="1:14" ht="15" customHeight="1">
      <c r="A21" s="440"/>
      <c r="B21" s="83" t="s">
        <v>101</v>
      </c>
      <c r="C21" s="91">
        <v>0</v>
      </c>
      <c r="D21" s="173">
        <f>(4.04+0.871+0.437+0.015)*1.075*1.2</f>
        <v>6.918269999999999</v>
      </c>
      <c r="E21" s="436"/>
      <c r="F21" s="465"/>
      <c r="G21" s="424">
        <v>24120</v>
      </c>
      <c r="H21" s="431">
        <v>6.91</v>
      </c>
      <c r="I21" s="6"/>
      <c r="J21" s="7"/>
      <c r="K21" s="6"/>
      <c r="L21" s="7"/>
      <c r="M21" s="6"/>
      <c r="N21" s="7"/>
    </row>
    <row r="22" spans="1:14" ht="15" customHeight="1" thickBot="1">
      <c r="A22" s="440"/>
      <c r="B22" s="83" t="s">
        <v>113</v>
      </c>
      <c r="C22" s="91">
        <v>17.25</v>
      </c>
      <c r="D22" s="175">
        <f>49.863*1.075*1.2</f>
        <v>64.32327</v>
      </c>
      <c r="E22" s="436"/>
      <c r="F22" s="465"/>
      <c r="G22" s="425"/>
      <c r="H22" s="363"/>
      <c r="I22" s="6"/>
      <c r="J22" s="7"/>
      <c r="K22" s="6"/>
      <c r="L22" s="7"/>
      <c r="M22" s="6"/>
      <c r="N22" s="7"/>
    </row>
    <row r="23" spans="1:14" ht="12.75">
      <c r="A23" s="439" t="s">
        <v>20</v>
      </c>
      <c r="B23" s="80" t="s">
        <v>94</v>
      </c>
      <c r="C23" s="162">
        <v>1560</v>
      </c>
      <c r="D23" s="172">
        <f>(6.29+3.485+0.437+0.015)*1.075*1.2</f>
        <v>13.19283</v>
      </c>
      <c r="E23" s="435">
        <v>61</v>
      </c>
      <c r="F23" s="464">
        <v>52.47</v>
      </c>
      <c r="G23" s="15">
        <v>717.85</v>
      </c>
      <c r="H23" s="10">
        <v>56.19</v>
      </c>
      <c r="I23" s="9"/>
      <c r="J23" s="10"/>
      <c r="K23" s="9"/>
      <c r="L23" s="10"/>
      <c r="M23" s="9"/>
      <c r="N23" s="10"/>
    </row>
    <row r="24" spans="1:14" ht="12.75">
      <c r="A24" s="440"/>
      <c r="B24" s="83" t="s">
        <v>101</v>
      </c>
      <c r="C24" s="91">
        <v>0</v>
      </c>
      <c r="D24" s="173">
        <f>(4.04+0.871+0.437+0.015)*1.075*1.2</f>
        <v>6.918269999999999</v>
      </c>
      <c r="E24" s="436"/>
      <c r="F24" s="465"/>
      <c r="G24" s="424">
        <v>0</v>
      </c>
      <c r="H24" s="431">
        <v>6.91</v>
      </c>
      <c r="I24" s="6"/>
      <c r="J24" s="7"/>
      <c r="K24" s="6"/>
      <c r="L24" s="7"/>
      <c r="M24" s="6"/>
      <c r="N24" s="7"/>
    </row>
    <row r="25" spans="1:14" ht="13.5" thickBot="1">
      <c r="A25" s="440"/>
      <c r="B25" s="83" t="s">
        <v>113</v>
      </c>
      <c r="C25" s="91">
        <v>17.25</v>
      </c>
      <c r="D25" s="175">
        <f>49.863*1.075*1.2</f>
        <v>64.32327</v>
      </c>
      <c r="E25" s="436"/>
      <c r="F25" s="465"/>
      <c r="G25" s="425"/>
      <c r="H25" s="363"/>
      <c r="I25" s="6"/>
      <c r="J25" s="7"/>
      <c r="K25" s="6"/>
      <c r="L25" s="7"/>
      <c r="M25" s="6"/>
      <c r="N25" s="7"/>
    </row>
    <row r="26" spans="1:14" ht="12.75">
      <c r="A26" s="439" t="s">
        <v>68</v>
      </c>
      <c r="B26" s="80" t="s">
        <v>94</v>
      </c>
      <c r="C26" s="162">
        <v>1710</v>
      </c>
      <c r="D26" s="172">
        <f>(6.29+3.485+0.437+0.015)*1.075*1.2</f>
        <v>13.19283</v>
      </c>
      <c r="E26" s="435">
        <v>84</v>
      </c>
      <c r="F26" s="464">
        <v>52.47</v>
      </c>
      <c r="G26" s="15">
        <v>717.85</v>
      </c>
      <c r="H26" s="10">
        <v>56.19</v>
      </c>
      <c r="I26" s="9"/>
      <c r="J26" s="10"/>
      <c r="K26" s="9"/>
      <c r="L26" s="10"/>
      <c r="M26" s="9"/>
      <c r="N26" s="10"/>
    </row>
    <row r="27" spans="1:14" ht="12.75">
      <c r="A27" s="440"/>
      <c r="B27" s="83" t="s">
        <v>101</v>
      </c>
      <c r="C27" s="91">
        <v>0</v>
      </c>
      <c r="D27" s="173">
        <f>(4.04+0.871+0.437+0.015)*1.075*1.2</f>
        <v>6.918269999999999</v>
      </c>
      <c r="E27" s="436"/>
      <c r="F27" s="465"/>
      <c r="G27" s="424">
        <v>0</v>
      </c>
      <c r="H27" s="431">
        <v>6.91</v>
      </c>
      <c r="I27" s="6"/>
      <c r="J27" s="7"/>
      <c r="K27" s="6"/>
      <c r="L27" s="7"/>
      <c r="M27" s="6"/>
      <c r="N27" s="7"/>
    </row>
    <row r="28" spans="1:14" ht="13.5" thickBot="1">
      <c r="A28" s="440"/>
      <c r="B28" s="83" t="s">
        <v>113</v>
      </c>
      <c r="C28" s="91">
        <v>17.25</v>
      </c>
      <c r="D28" s="175">
        <f>49.863*1.075*1.2</f>
        <v>64.32327</v>
      </c>
      <c r="E28" s="436"/>
      <c r="F28" s="465"/>
      <c r="G28" s="425"/>
      <c r="H28" s="363"/>
      <c r="I28" s="6"/>
      <c r="J28" s="7"/>
      <c r="K28" s="6"/>
      <c r="L28" s="7"/>
      <c r="M28" s="6"/>
      <c r="N28" s="7"/>
    </row>
    <row r="29" spans="1:14" ht="12.75">
      <c r="A29" s="439" t="s">
        <v>69</v>
      </c>
      <c r="B29" s="80" t="s">
        <v>94</v>
      </c>
      <c r="C29" s="162">
        <v>1560</v>
      </c>
      <c r="D29" s="172">
        <f>(6.29+3.485+0.437+0.015)*1.075*1.2</f>
        <v>13.19283</v>
      </c>
      <c r="E29" s="435">
        <v>46</v>
      </c>
      <c r="F29" s="362">
        <v>52.47</v>
      </c>
      <c r="G29" s="15">
        <v>717.85</v>
      </c>
      <c r="H29" s="10">
        <v>56.19</v>
      </c>
      <c r="I29" s="9"/>
      <c r="J29" s="10"/>
      <c r="K29" s="9"/>
      <c r="L29" s="10"/>
      <c r="M29" s="9"/>
      <c r="N29" s="10"/>
    </row>
    <row r="30" spans="1:14" ht="12.75">
      <c r="A30" s="440"/>
      <c r="B30" s="83" t="s">
        <v>101</v>
      </c>
      <c r="C30" s="91">
        <v>0</v>
      </c>
      <c r="D30" s="173">
        <f>(4.04+0.871+0.437+0.015)*1.075*1.2</f>
        <v>6.918269999999999</v>
      </c>
      <c r="E30" s="436"/>
      <c r="F30" s="431"/>
      <c r="G30" s="424">
        <v>0</v>
      </c>
      <c r="H30" s="431">
        <v>6.91</v>
      </c>
      <c r="I30" s="6"/>
      <c r="J30" s="7"/>
      <c r="K30" s="6"/>
      <c r="L30" s="7"/>
      <c r="M30" s="6"/>
      <c r="N30" s="7"/>
    </row>
    <row r="31" spans="1:14" ht="13.5" thickBot="1">
      <c r="A31" s="440"/>
      <c r="B31" s="83" t="s">
        <v>113</v>
      </c>
      <c r="C31" s="91">
        <v>17.25</v>
      </c>
      <c r="D31" s="175">
        <f>49.863*1.075*1.2</f>
        <v>64.32327</v>
      </c>
      <c r="E31" s="436"/>
      <c r="F31" s="431"/>
      <c r="G31" s="425"/>
      <c r="H31" s="363"/>
      <c r="I31" s="6"/>
      <c r="J31" s="7"/>
      <c r="K31" s="6"/>
      <c r="L31" s="7"/>
      <c r="M31" s="6"/>
      <c r="N31" s="7"/>
    </row>
    <row r="32" spans="1:14" ht="12.75">
      <c r="A32" s="439" t="s">
        <v>22</v>
      </c>
      <c r="B32" s="85" t="s">
        <v>94</v>
      </c>
      <c r="C32" s="162">
        <v>1620</v>
      </c>
      <c r="D32" s="172">
        <f>(6.29+3.485+0.437+0.015)*1.075*1.2</f>
        <v>13.19283</v>
      </c>
      <c r="E32" s="435">
        <f>50</f>
        <v>50</v>
      </c>
      <c r="F32" s="362">
        <v>52.47</v>
      </c>
      <c r="G32" s="15">
        <v>717.85</v>
      </c>
      <c r="H32" s="10">
        <v>56.19</v>
      </c>
      <c r="I32" s="12"/>
      <c r="J32" s="13"/>
      <c r="K32" s="12"/>
      <c r="L32" s="13"/>
      <c r="M32" s="12"/>
      <c r="N32" s="13"/>
    </row>
    <row r="33" spans="1:14" ht="12.75">
      <c r="A33" s="440"/>
      <c r="B33" s="81" t="s">
        <v>95</v>
      </c>
      <c r="C33" s="91">
        <v>0</v>
      </c>
      <c r="D33" s="173">
        <f>(4.04+0.871+0.437+0.015)*1.075*1.2</f>
        <v>6.918269999999999</v>
      </c>
      <c r="E33" s="436"/>
      <c r="F33" s="431"/>
      <c r="G33" s="424">
        <v>0</v>
      </c>
      <c r="H33" s="431">
        <v>6.91</v>
      </c>
      <c r="I33" s="12"/>
      <c r="J33" s="13"/>
      <c r="K33" s="12"/>
      <c r="L33" s="13"/>
      <c r="M33" s="12"/>
      <c r="N33" s="13"/>
    </row>
    <row r="34" spans="1:14" ht="13.5" thickBot="1">
      <c r="A34" s="440"/>
      <c r="B34" s="85" t="s">
        <v>113</v>
      </c>
      <c r="C34" s="91">
        <v>17.25</v>
      </c>
      <c r="D34" s="175">
        <f>49.863*1.075*1.2</f>
        <v>64.32327</v>
      </c>
      <c r="E34" s="436"/>
      <c r="F34" s="431"/>
      <c r="G34" s="425"/>
      <c r="H34" s="363"/>
      <c r="I34" s="12"/>
      <c r="J34" s="13"/>
      <c r="K34" s="12"/>
      <c r="L34" s="13"/>
      <c r="M34" s="12"/>
      <c r="N34" s="13"/>
    </row>
    <row r="35" spans="1:14" ht="12.75">
      <c r="A35" s="439" t="s">
        <v>23</v>
      </c>
      <c r="B35" s="85" t="s">
        <v>94</v>
      </c>
      <c r="C35" s="162">
        <v>1890</v>
      </c>
      <c r="D35" s="172">
        <f>(9.7+3.485+0.437+0.015)*1.075*1.2</f>
        <v>17.59173</v>
      </c>
      <c r="E35" s="466">
        <f>80</f>
        <v>80</v>
      </c>
      <c r="F35" s="362">
        <v>58.17</v>
      </c>
      <c r="G35" s="15">
        <v>717.85</v>
      </c>
      <c r="H35" s="10">
        <v>56.19</v>
      </c>
      <c r="I35" s="4"/>
      <c r="J35" s="5"/>
      <c r="K35" s="4"/>
      <c r="L35" s="5"/>
      <c r="M35" s="4"/>
      <c r="N35" s="5"/>
    </row>
    <row r="36" spans="1:14" ht="15" customHeight="1">
      <c r="A36" s="440"/>
      <c r="B36" s="81" t="s">
        <v>95</v>
      </c>
      <c r="C36" s="91">
        <v>0</v>
      </c>
      <c r="D36" s="173">
        <f>(6.15+0.871+0.437+0.015)*1.075*1.2</f>
        <v>9.640170000000001</v>
      </c>
      <c r="E36" s="467"/>
      <c r="F36" s="431"/>
      <c r="G36" s="424">
        <v>0</v>
      </c>
      <c r="H36" s="431">
        <v>6.91</v>
      </c>
      <c r="I36" s="4"/>
      <c r="J36" s="5"/>
      <c r="K36" s="4"/>
      <c r="L36" s="5"/>
      <c r="M36" s="4"/>
      <c r="N36" s="5"/>
    </row>
    <row r="37" spans="1:14" ht="15" customHeight="1" thickBot="1">
      <c r="A37" s="440"/>
      <c r="B37" s="85" t="s">
        <v>94</v>
      </c>
      <c r="C37" s="91">
        <v>17.25</v>
      </c>
      <c r="D37" s="175">
        <f>49.863*1.075*1.2</f>
        <v>64.32327</v>
      </c>
      <c r="E37" s="467"/>
      <c r="F37" s="431"/>
      <c r="G37" s="425"/>
      <c r="H37" s="363"/>
      <c r="I37" s="4"/>
      <c r="J37" s="5"/>
      <c r="K37" s="4"/>
      <c r="L37" s="5"/>
      <c r="M37" s="4"/>
      <c r="N37" s="5"/>
    </row>
    <row r="38" spans="1:14" ht="12.75">
      <c r="A38" s="439" t="s">
        <v>24</v>
      </c>
      <c r="B38" s="85" t="s">
        <v>94</v>
      </c>
      <c r="C38" s="162">
        <v>2910</v>
      </c>
      <c r="D38" s="172">
        <f>(9.7+3.879+0.437+0.015)*1.075*1.2</f>
        <v>18.09999</v>
      </c>
      <c r="E38" s="435">
        <v>50</v>
      </c>
      <c r="F38" s="362">
        <v>58.17</v>
      </c>
      <c r="G38" s="15">
        <v>717.85</v>
      </c>
      <c r="H38" s="10">
        <v>56.19</v>
      </c>
      <c r="I38" s="4"/>
      <c r="J38" s="5"/>
      <c r="K38" s="4"/>
      <c r="L38" s="5"/>
      <c r="M38" s="4"/>
      <c r="N38" s="5"/>
    </row>
    <row r="39" spans="1:14" ht="15" customHeight="1" thickBot="1">
      <c r="A39" s="440"/>
      <c r="B39" s="86" t="s">
        <v>95</v>
      </c>
      <c r="C39" s="91">
        <v>0</v>
      </c>
      <c r="D39" s="173">
        <f>(6.15+0.97+0.437+0.015)*1.075*1.2</f>
        <v>9.767879999999998</v>
      </c>
      <c r="E39" s="436"/>
      <c r="F39" s="431"/>
      <c r="G39" s="424">
        <v>14760</v>
      </c>
      <c r="H39" s="431">
        <v>6.91</v>
      </c>
      <c r="I39" s="4"/>
      <c r="J39" s="5"/>
      <c r="K39" s="4"/>
      <c r="L39" s="5"/>
      <c r="M39" s="4"/>
      <c r="N39" s="5"/>
    </row>
    <row r="40" spans="1:14" ht="15" customHeight="1" thickBot="1">
      <c r="A40" s="440"/>
      <c r="B40" s="85" t="s">
        <v>94</v>
      </c>
      <c r="C40" s="91">
        <v>17.25</v>
      </c>
      <c r="D40" s="175">
        <f>54.258*1.075*1.2</f>
        <v>69.99282</v>
      </c>
      <c r="E40" s="436"/>
      <c r="F40" s="431"/>
      <c r="G40" s="425"/>
      <c r="H40" s="363"/>
      <c r="I40" s="4"/>
      <c r="J40" s="5"/>
      <c r="K40" s="4"/>
      <c r="L40" s="5"/>
      <c r="M40" s="4"/>
      <c r="N40" s="5"/>
    </row>
    <row r="41" spans="1:14" ht="12.75">
      <c r="A41" s="439" t="s">
        <v>25</v>
      </c>
      <c r="B41" s="85" t="s">
        <v>94</v>
      </c>
      <c r="C41" s="162">
        <v>2940</v>
      </c>
      <c r="D41" s="172">
        <f>(9.7+3.879+0.437+0.015)*1.075*1.2</f>
        <v>18.09999</v>
      </c>
      <c r="E41" s="435">
        <v>167</v>
      </c>
      <c r="F41" s="362">
        <v>58.17</v>
      </c>
      <c r="G41" s="15">
        <v>717.85</v>
      </c>
      <c r="H41" s="10">
        <v>56.19</v>
      </c>
      <c r="I41" s="4"/>
      <c r="J41" s="5"/>
      <c r="K41" s="4"/>
      <c r="L41" s="5"/>
      <c r="M41" s="4"/>
      <c r="N41" s="5"/>
    </row>
    <row r="42" spans="1:14" ht="15" customHeight="1" thickBot="1">
      <c r="A42" s="440"/>
      <c r="B42" s="86" t="s">
        <v>95</v>
      </c>
      <c r="C42" s="91">
        <v>0</v>
      </c>
      <c r="D42" s="173">
        <f>(6.15+0.97+0.437+0.015)*1.075*1.2</f>
        <v>9.767879999999998</v>
      </c>
      <c r="E42" s="436"/>
      <c r="F42" s="431"/>
      <c r="G42" s="424">
        <v>28440</v>
      </c>
      <c r="H42" s="431">
        <v>6.91</v>
      </c>
      <c r="I42" s="4"/>
      <c r="J42" s="5"/>
      <c r="K42" s="4"/>
      <c r="L42" s="5"/>
      <c r="M42" s="4"/>
      <c r="N42" s="5"/>
    </row>
    <row r="43" spans="1:14" ht="15" customHeight="1" thickBot="1">
      <c r="A43" s="440"/>
      <c r="B43" s="85" t="s">
        <v>94</v>
      </c>
      <c r="C43" s="91">
        <v>17.25</v>
      </c>
      <c r="D43" s="175">
        <f>54.258*1.075*1.2</f>
        <v>69.99282</v>
      </c>
      <c r="E43" s="436"/>
      <c r="F43" s="431"/>
      <c r="G43" s="425"/>
      <c r="H43" s="363"/>
      <c r="I43" s="9"/>
      <c r="J43" s="10"/>
      <c r="K43" s="9"/>
      <c r="L43" s="10"/>
      <c r="M43" s="9"/>
      <c r="N43" s="10"/>
    </row>
    <row r="44" spans="1:14" ht="12.75">
      <c r="A44" s="447" t="s">
        <v>26</v>
      </c>
      <c r="B44" s="153" t="s">
        <v>94</v>
      </c>
      <c r="C44" s="162">
        <v>2610</v>
      </c>
      <c r="D44" s="172">
        <f>(9.7+3.879+0.437+0.015)*1.075*1.2</f>
        <v>18.09999</v>
      </c>
      <c r="E44" s="468">
        <v>116</v>
      </c>
      <c r="F44" s="462">
        <v>58.17</v>
      </c>
      <c r="G44" s="15">
        <v>717.85</v>
      </c>
      <c r="H44" s="10">
        <v>56.19</v>
      </c>
      <c r="I44" s="139"/>
      <c r="J44" s="140"/>
      <c r="K44" s="139"/>
      <c r="L44" s="140"/>
      <c r="M44" s="139"/>
      <c r="N44" s="140"/>
    </row>
    <row r="45" spans="1:14" ht="15" customHeight="1" thickBot="1">
      <c r="A45" s="448"/>
      <c r="B45" s="155" t="s">
        <v>95</v>
      </c>
      <c r="C45" s="91">
        <v>0</v>
      </c>
      <c r="D45" s="173">
        <f>(6.15+0.97+0.437+0.015)*1.075*1.2</f>
        <v>9.767879999999998</v>
      </c>
      <c r="E45" s="453"/>
      <c r="F45" s="431"/>
      <c r="G45" s="428">
        <v>34420</v>
      </c>
      <c r="H45" s="431">
        <v>6.91</v>
      </c>
      <c r="I45" s="157"/>
      <c r="J45" s="99"/>
      <c r="K45" s="157"/>
      <c r="L45" s="99"/>
      <c r="M45" s="157"/>
      <c r="N45" s="99"/>
    </row>
    <row r="46" spans="1:14" ht="15" customHeight="1" thickBot="1">
      <c r="A46" s="449"/>
      <c r="B46" s="156" t="s">
        <v>94</v>
      </c>
      <c r="C46" s="91">
        <v>17.25</v>
      </c>
      <c r="D46" s="175">
        <f>54.258*1.075*1.2</f>
        <v>69.99282</v>
      </c>
      <c r="E46" s="469"/>
      <c r="F46" s="463"/>
      <c r="G46" s="429"/>
      <c r="H46" s="363"/>
      <c r="I46" s="158"/>
      <c r="J46" s="100"/>
      <c r="K46" s="158"/>
      <c r="L46" s="100"/>
      <c r="M46" s="158"/>
      <c r="N46" s="100"/>
    </row>
    <row r="47" spans="1:14" ht="12.75">
      <c r="A47" s="1"/>
      <c r="B47" s="1"/>
      <c r="C47" s="1"/>
      <c r="D47" s="1"/>
      <c r="E47" s="1"/>
      <c r="F47" s="1"/>
      <c r="G47" s="23"/>
      <c r="H47" s="23"/>
      <c r="I47" s="1"/>
      <c r="J47" s="1"/>
      <c r="K47" s="1"/>
      <c r="L47" s="1"/>
      <c r="M47" s="1"/>
      <c r="N47" s="1"/>
    </row>
    <row r="48" spans="1:14" s="27" customFormat="1" ht="12.75">
      <c r="A48" s="347" t="s">
        <v>32</v>
      </c>
      <c r="B48" s="347"/>
      <c r="C48" s="347"/>
      <c r="D48" s="348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47" t="s">
        <v>35</v>
      </c>
      <c r="C50" s="347"/>
      <c r="D50" s="347"/>
      <c r="E50" s="348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47" t="s">
        <v>34</v>
      </c>
      <c r="C51" s="347"/>
      <c r="D51" s="347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4.25">
      <c r="A52" s="23"/>
      <c r="B52" s="23"/>
      <c r="C52" s="23"/>
      <c r="D52" s="23"/>
      <c r="E52" s="23"/>
      <c r="F52" s="23"/>
      <c r="G52" s="20"/>
      <c r="H52"/>
      <c r="I52" s="23"/>
      <c r="J52" s="23"/>
      <c r="K52" s="23"/>
      <c r="L52" s="23"/>
      <c r="M52" s="23"/>
      <c r="N52" s="23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  <row r="55" spans="1:7" ht="14.25">
      <c r="A55" s="20"/>
      <c r="B55" s="20"/>
      <c r="C55" s="20"/>
      <c r="D55" s="20"/>
      <c r="E55" s="20"/>
      <c r="F55" s="20"/>
      <c r="G55" s="20"/>
    </row>
    <row r="56" spans="1:7" ht="14.25">
      <c r="A56" s="20"/>
      <c r="B56" s="20"/>
      <c r="C56" s="20"/>
      <c r="D56" s="20"/>
      <c r="E56" s="20"/>
      <c r="F56" s="20"/>
      <c r="G56" s="20"/>
    </row>
    <row r="57" spans="1:6" ht="14.25">
      <c r="A57" s="20"/>
      <c r="B57" s="20"/>
      <c r="C57" s="20"/>
      <c r="D57" s="20"/>
      <c r="E57" s="20"/>
      <c r="F57" s="20"/>
    </row>
  </sheetData>
  <sheetProtection/>
  <mergeCells count="79"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  <mergeCell ref="H18:H19"/>
    <mergeCell ref="G21:G22"/>
    <mergeCell ref="H21:H22"/>
    <mergeCell ref="G24:G25"/>
    <mergeCell ref="H24:H25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E9:E10"/>
    <mergeCell ref="F9:F10"/>
    <mergeCell ref="G9:H9"/>
    <mergeCell ref="B9:C10"/>
    <mergeCell ref="F11:F13"/>
    <mergeCell ref="G12:G13"/>
    <mergeCell ref="H12:H13"/>
    <mergeCell ref="E11:E13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E38:E40"/>
    <mergeCell ref="A35:A37"/>
    <mergeCell ref="A14:A16"/>
    <mergeCell ref="A32:A34"/>
    <mergeCell ref="A23:A25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H39:H40"/>
    <mergeCell ref="G42:G43"/>
    <mergeCell ref="H42:H43"/>
    <mergeCell ref="H45:H46"/>
    <mergeCell ref="F38:F40"/>
    <mergeCell ref="G45:G46"/>
    <mergeCell ref="F41:F43"/>
    <mergeCell ref="G39:G40"/>
    <mergeCell ref="F44:F46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9">
      <selection activeCell="C34" sqref="C34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24" customFormat="1" ht="15">
      <c r="A1" s="19" t="s">
        <v>41</v>
      </c>
      <c r="B1" s="19" t="s">
        <v>40</v>
      </c>
      <c r="C1" s="19"/>
      <c r="E1" s="18">
        <v>50086</v>
      </c>
      <c r="F1" s="18"/>
      <c r="G1" s="18"/>
      <c r="H1" s="18"/>
      <c r="I1" s="471" t="s">
        <v>29</v>
      </c>
      <c r="J1" s="471"/>
      <c r="K1" s="471"/>
      <c r="L1" s="28">
        <v>1166</v>
      </c>
      <c r="M1" s="18"/>
      <c r="N1" s="18"/>
    </row>
    <row r="2" spans="1:14" s="24" customFormat="1" ht="15">
      <c r="A2" s="17" t="s">
        <v>1</v>
      </c>
      <c r="B2" s="19" t="s">
        <v>93</v>
      </c>
      <c r="C2" s="19"/>
      <c r="D2" s="18"/>
      <c r="E2" s="18"/>
      <c r="F2" s="18"/>
      <c r="G2" s="18"/>
      <c r="H2" s="18"/>
      <c r="I2" s="471" t="s">
        <v>2</v>
      </c>
      <c r="J2" s="471"/>
      <c r="K2" s="471"/>
      <c r="L2" s="18">
        <v>9</v>
      </c>
      <c r="M2" s="18"/>
      <c r="N2" s="18"/>
    </row>
    <row r="3" spans="1:14" s="24" customFormat="1" ht="15">
      <c r="A3" s="17" t="s">
        <v>0</v>
      </c>
      <c r="B3" s="19" t="s">
        <v>38</v>
      </c>
      <c r="C3" s="19"/>
      <c r="D3" s="18"/>
      <c r="E3" s="18"/>
      <c r="F3" s="18"/>
      <c r="G3" s="18"/>
      <c r="H3" s="18"/>
      <c r="I3" s="471" t="s">
        <v>3</v>
      </c>
      <c r="J3" s="471"/>
      <c r="K3" s="471"/>
      <c r="L3" s="18" t="s">
        <v>49</v>
      </c>
      <c r="M3" s="18"/>
      <c r="N3" s="18"/>
    </row>
    <row r="4" spans="1:15" s="24" customFormat="1" ht="15">
      <c r="A4" s="17" t="s">
        <v>4</v>
      </c>
      <c r="B4" s="17">
        <v>193</v>
      </c>
      <c r="C4" s="17"/>
      <c r="D4" s="18"/>
      <c r="E4" s="18"/>
      <c r="F4" s="18"/>
      <c r="G4" s="18"/>
      <c r="H4" s="18"/>
      <c r="I4" s="17" t="s">
        <v>108</v>
      </c>
      <c r="J4" s="17"/>
      <c r="K4" s="17"/>
      <c r="L4" s="33" t="s">
        <v>109</v>
      </c>
      <c r="M4" s="21"/>
      <c r="N4" s="21"/>
      <c r="O4" s="2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473" t="s">
        <v>27</v>
      </c>
      <c r="H9" s="474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5"/>
      <c r="B10" s="442"/>
      <c r="C10" s="356"/>
      <c r="D10" s="345"/>
      <c r="E10" s="445"/>
      <c r="F10" s="345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70" t="s">
        <v>16</v>
      </c>
      <c r="B11" s="238" t="s">
        <v>94</v>
      </c>
      <c r="C11" s="184">
        <v>1770</v>
      </c>
      <c r="D11" s="185">
        <f>(5.66+2.789+0.437+0.015)*1.075*1.2</f>
        <v>11.482289999999999</v>
      </c>
      <c r="E11" s="444">
        <f>125</f>
        <v>125</v>
      </c>
      <c r="F11" s="344">
        <v>52.47</v>
      </c>
      <c r="G11" s="15">
        <v>1091</v>
      </c>
      <c r="H11" s="10">
        <v>56.19</v>
      </c>
      <c r="I11" s="6"/>
      <c r="J11" s="7"/>
      <c r="K11" s="6"/>
      <c r="L11" s="7"/>
      <c r="M11" s="6"/>
      <c r="N11" s="7"/>
    </row>
    <row r="12" spans="1:14" ht="15" customHeight="1">
      <c r="A12" s="438"/>
      <c r="B12" s="81" t="s">
        <v>111</v>
      </c>
      <c r="C12" s="187">
        <v>17.25</v>
      </c>
      <c r="D12" s="188">
        <f>49.291*1.075*1.2</f>
        <v>63.58538999999999</v>
      </c>
      <c r="E12" s="446"/>
      <c r="F12" s="363"/>
      <c r="G12" s="259">
        <v>27260</v>
      </c>
      <c r="H12" s="13">
        <v>6.91</v>
      </c>
      <c r="I12" s="12"/>
      <c r="J12" s="13"/>
      <c r="K12" s="12"/>
      <c r="L12" s="13"/>
      <c r="M12" s="12"/>
      <c r="N12" s="13"/>
    </row>
    <row r="13" spans="1:14" ht="15" customHeight="1">
      <c r="A13" s="439" t="s">
        <v>17</v>
      </c>
      <c r="B13" s="83" t="s">
        <v>94</v>
      </c>
      <c r="C13" s="92">
        <v>1770</v>
      </c>
      <c r="D13" s="185">
        <f>(5.66+3.049+0.437+0.015)*1.075*1.2</f>
        <v>11.817689999999999</v>
      </c>
      <c r="E13" s="435">
        <v>134</v>
      </c>
      <c r="F13" s="362">
        <v>52.47</v>
      </c>
      <c r="G13" s="15">
        <v>1091</v>
      </c>
      <c r="H13" s="10">
        <v>56.19</v>
      </c>
      <c r="I13" s="6"/>
      <c r="J13" s="7"/>
      <c r="K13" s="6"/>
      <c r="L13" s="7"/>
      <c r="M13" s="6"/>
      <c r="N13" s="7"/>
    </row>
    <row r="14" spans="1:14" ht="15" customHeight="1">
      <c r="A14" s="438"/>
      <c r="B14" s="81" t="s">
        <v>111</v>
      </c>
      <c r="C14" s="160">
        <v>17.25</v>
      </c>
      <c r="D14" s="188">
        <f>49.863*1.075*1.2</f>
        <v>64.32327</v>
      </c>
      <c r="E14" s="446"/>
      <c r="F14" s="363"/>
      <c r="G14" s="259">
        <v>28928</v>
      </c>
      <c r="H14" s="13">
        <v>6.91</v>
      </c>
      <c r="I14" s="6"/>
      <c r="J14" s="7"/>
      <c r="K14" s="6"/>
      <c r="L14" s="7"/>
      <c r="M14" s="6"/>
      <c r="N14" s="7"/>
    </row>
    <row r="15" spans="1:14" ht="15" customHeight="1">
      <c r="A15" s="439" t="s">
        <v>18</v>
      </c>
      <c r="B15" s="85" t="s">
        <v>94</v>
      </c>
      <c r="C15" s="162">
        <v>0</v>
      </c>
      <c r="D15" s="185">
        <f>(5.66+3.049+0.437+0.015)*1.075*1.2</f>
        <v>11.817689999999999</v>
      </c>
      <c r="E15" s="435">
        <v>121</v>
      </c>
      <c r="F15" s="362">
        <v>52.47</v>
      </c>
      <c r="G15" s="15">
        <v>1091</v>
      </c>
      <c r="H15" s="10">
        <v>56.19</v>
      </c>
      <c r="I15" s="9"/>
      <c r="J15" s="10"/>
      <c r="K15" s="9"/>
      <c r="L15" s="10"/>
      <c r="M15" s="9"/>
      <c r="N15" s="10"/>
    </row>
    <row r="16" spans="1:14" ht="15" customHeight="1">
      <c r="A16" s="438"/>
      <c r="B16" s="81" t="s">
        <v>111</v>
      </c>
      <c r="C16" s="159">
        <v>17.25</v>
      </c>
      <c r="D16" s="188">
        <f>49.863*1.075*1.2</f>
        <v>64.32327</v>
      </c>
      <c r="E16" s="446"/>
      <c r="F16" s="363"/>
      <c r="G16" s="8">
        <v>26018</v>
      </c>
      <c r="H16" s="13">
        <v>6.91</v>
      </c>
      <c r="I16" s="12"/>
      <c r="J16" s="13"/>
      <c r="K16" s="12"/>
      <c r="L16" s="13"/>
      <c r="M16" s="12"/>
      <c r="N16" s="13"/>
    </row>
    <row r="17" spans="1:14" ht="15" customHeight="1">
      <c r="A17" s="439" t="s">
        <v>19</v>
      </c>
      <c r="B17" s="85" t="s">
        <v>94</v>
      </c>
      <c r="C17" s="162">
        <v>0</v>
      </c>
      <c r="D17" s="185">
        <f>(5.66+3.049+0.437+0.015)*1.075*1.2</f>
        <v>11.817689999999999</v>
      </c>
      <c r="E17" s="435">
        <v>100</v>
      </c>
      <c r="F17" s="362">
        <v>52.47</v>
      </c>
      <c r="G17" s="15">
        <v>1091</v>
      </c>
      <c r="H17" s="10">
        <v>56.19</v>
      </c>
      <c r="I17" s="9"/>
      <c r="J17" s="10"/>
      <c r="K17" s="9"/>
      <c r="L17" s="10"/>
      <c r="M17" s="9"/>
      <c r="N17" s="10"/>
    </row>
    <row r="18" spans="1:14" ht="12.75">
      <c r="A18" s="438"/>
      <c r="B18" s="81" t="s">
        <v>111</v>
      </c>
      <c r="C18" s="89">
        <v>17.25</v>
      </c>
      <c r="D18" s="188">
        <f>49.863*1.075*1.2</f>
        <v>64.32327</v>
      </c>
      <c r="E18" s="446"/>
      <c r="F18" s="363"/>
      <c r="G18" s="8">
        <v>22087</v>
      </c>
      <c r="H18" s="13">
        <v>6.91</v>
      </c>
      <c r="I18" s="12"/>
      <c r="J18" s="13"/>
      <c r="K18" s="12"/>
      <c r="L18" s="13"/>
      <c r="M18" s="12"/>
      <c r="N18" s="13"/>
    </row>
    <row r="19" spans="1:14" ht="12.75">
      <c r="A19" s="439" t="s">
        <v>20</v>
      </c>
      <c r="B19" s="85" t="s">
        <v>94</v>
      </c>
      <c r="C19" s="162">
        <v>4470</v>
      </c>
      <c r="D19" s="185">
        <f>(5.66+3.049+0.437+0.015)*1.075*1.2</f>
        <v>11.817689999999999</v>
      </c>
      <c r="E19" s="435">
        <v>120</v>
      </c>
      <c r="F19" s="362">
        <v>52.47</v>
      </c>
      <c r="G19" s="15">
        <v>1091</v>
      </c>
      <c r="H19" s="10">
        <v>56.19</v>
      </c>
      <c r="I19" s="9"/>
      <c r="J19" s="10"/>
      <c r="K19" s="9"/>
      <c r="L19" s="10"/>
      <c r="M19" s="9"/>
      <c r="N19" s="10"/>
    </row>
    <row r="20" spans="1:14" ht="12.75">
      <c r="A20" s="438"/>
      <c r="B20" s="81" t="s">
        <v>111</v>
      </c>
      <c r="C20" s="89">
        <v>17.25</v>
      </c>
      <c r="D20" s="188">
        <f>49.863*1.075*1.2</f>
        <v>64.32327</v>
      </c>
      <c r="E20" s="446"/>
      <c r="F20" s="363"/>
      <c r="G20" s="8">
        <v>0</v>
      </c>
      <c r="H20" s="13">
        <v>6.91</v>
      </c>
      <c r="I20" s="12"/>
      <c r="J20" s="13"/>
      <c r="K20" s="12"/>
      <c r="L20" s="13"/>
      <c r="M20" s="12"/>
      <c r="N20" s="13"/>
    </row>
    <row r="21" spans="1:14" ht="12.75">
      <c r="A21" s="439" t="s">
        <v>68</v>
      </c>
      <c r="B21" s="85" t="s">
        <v>94</v>
      </c>
      <c r="C21" s="162">
        <v>1110</v>
      </c>
      <c r="D21" s="185">
        <f>(5.66+3.049+0.437+0.015)*1.075*1.2</f>
        <v>11.817689999999999</v>
      </c>
      <c r="E21" s="435">
        <v>189</v>
      </c>
      <c r="F21" s="362">
        <v>52.47</v>
      </c>
      <c r="G21" s="15">
        <v>1091</v>
      </c>
      <c r="H21" s="10">
        <v>56.19</v>
      </c>
      <c r="I21" s="9"/>
      <c r="J21" s="10"/>
      <c r="K21" s="9"/>
      <c r="L21" s="10"/>
      <c r="M21" s="9"/>
      <c r="N21" s="10"/>
    </row>
    <row r="22" spans="1:14" ht="12.75">
      <c r="A22" s="438"/>
      <c r="B22" s="81" t="s">
        <v>111</v>
      </c>
      <c r="C22" s="89">
        <v>17.25</v>
      </c>
      <c r="D22" s="188">
        <f>49.863*1.075*1.2</f>
        <v>64.32327</v>
      </c>
      <c r="E22" s="446"/>
      <c r="F22" s="363"/>
      <c r="G22" s="8">
        <v>0</v>
      </c>
      <c r="H22" s="13">
        <v>6.91</v>
      </c>
      <c r="I22" s="12"/>
      <c r="J22" s="13"/>
      <c r="K22" s="12"/>
      <c r="L22" s="13"/>
      <c r="M22" s="12"/>
      <c r="N22" s="13"/>
    </row>
    <row r="23" spans="1:14" ht="12.75">
      <c r="A23" s="439" t="s">
        <v>69</v>
      </c>
      <c r="B23" s="85" t="s">
        <v>94</v>
      </c>
      <c r="C23" s="162">
        <v>1200</v>
      </c>
      <c r="D23" s="185">
        <f>(5.66+3.049+0.437+0.015)*1.075*1.2</f>
        <v>11.817689999999999</v>
      </c>
      <c r="E23" s="435">
        <v>108</v>
      </c>
      <c r="F23" s="362">
        <v>52.47</v>
      </c>
      <c r="G23" s="15">
        <v>1091</v>
      </c>
      <c r="H23" s="10">
        <v>56.19</v>
      </c>
      <c r="I23" s="9"/>
      <c r="J23" s="10"/>
      <c r="K23" s="9"/>
      <c r="L23" s="10"/>
      <c r="M23" s="9"/>
      <c r="N23" s="10"/>
    </row>
    <row r="24" spans="1:14" ht="12.75">
      <c r="A24" s="438"/>
      <c r="B24" s="81" t="s">
        <v>95</v>
      </c>
      <c r="C24" s="89">
        <v>17.25</v>
      </c>
      <c r="D24" s="188">
        <f>49.863*1.075*1.2</f>
        <v>64.32327</v>
      </c>
      <c r="E24" s="446"/>
      <c r="F24" s="363"/>
      <c r="G24" s="8">
        <v>0</v>
      </c>
      <c r="H24" s="13">
        <v>6.91</v>
      </c>
      <c r="I24" s="12"/>
      <c r="J24" s="13"/>
      <c r="K24" s="12"/>
      <c r="L24" s="13"/>
      <c r="M24" s="12"/>
      <c r="N24" s="13"/>
    </row>
    <row r="25" spans="1:14" ht="12.75">
      <c r="A25" s="439" t="s">
        <v>22</v>
      </c>
      <c r="B25" s="85" t="s">
        <v>94</v>
      </c>
      <c r="C25" s="162">
        <v>1290</v>
      </c>
      <c r="D25" s="185">
        <f>(5.66+3.049+0.437+0.015)*1.075*1.2</f>
        <v>11.817689999999999</v>
      </c>
      <c r="E25" s="435">
        <f>110</f>
        <v>110</v>
      </c>
      <c r="F25" s="362">
        <v>52.47</v>
      </c>
      <c r="G25" s="15">
        <v>1091</v>
      </c>
      <c r="H25" s="10">
        <v>56.19</v>
      </c>
      <c r="I25" s="12"/>
      <c r="J25" s="13"/>
      <c r="K25" s="12"/>
      <c r="L25" s="13"/>
      <c r="M25" s="12"/>
      <c r="N25" s="13"/>
    </row>
    <row r="26" spans="1:14" ht="12.75">
      <c r="A26" s="438"/>
      <c r="B26" s="81" t="s">
        <v>95</v>
      </c>
      <c r="C26" s="89">
        <v>17.25</v>
      </c>
      <c r="D26" s="188">
        <f>49.863*1.075*1.2</f>
        <v>64.32327</v>
      </c>
      <c r="E26" s="446"/>
      <c r="F26" s="363"/>
      <c r="G26" s="8">
        <v>0</v>
      </c>
      <c r="H26" s="13">
        <v>6.91</v>
      </c>
      <c r="I26" s="4"/>
      <c r="J26" s="5"/>
      <c r="K26" s="4"/>
      <c r="L26" s="5"/>
      <c r="M26" s="4"/>
      <c r="N26" s="5"/>
    </row>
    <row r="27" spans="1:14" ht="12.75">
      <c r="A27" s="439" t="s">
        <v>23</v>
      </c>
      <c r="B27" s="85" t="s">
        <v>94</v>
      </c>
      <c r="C27" s="162">
        <v>1620</v>
      </c>
      <c r="D27" s="185">
        <f>(8.73+3.049+0.437+0.015)*1.075*1.2</f>
        <v>15.777989999999999</v>
      </c>
      <c r="E27" s="435">
        <f>161</f>
        <v>161</v>
      </c>
      <c r="F27" s="362">
        <v>58.17</v>
      </c>
      <c r="G27" s="15">
        <v>1091</v>
      </c>
      <c r="H27" s="10">
        <v>56.19</v>
      </c>
      <c r="I27" s="4"/>
      <c r="J27" s="5"/>
      <c r="K27" s="4"/>
      <c r="L27" s="5"/>
      <c r="M27" s="4"/>
      <c r="N27" s="5"/>
    </row>
    <row r="28" spans="1:14" ht="12.75">
      <c r="A28" s="438"/>
      <c r="B28" s="81" t="s">
        <v>95</v>
      </c>
      <c r="C28" s="89">
        <v>17.25</v>
      </c>
      <c r="D28" s="188">
        <f>49.863*1.075*1.2</f>
        <v>64.32327</v>
      </c>
      <c r="E28" s="446"/>
      <c r="F28" s="363"/>
      <c r="G28" s="8">
        <v>0</v>
      </c>
      <c r="H28" s="13">
        <v>6.91</v>
      </c>
      <c r="I28" s="4"/>
      <c r="J28" s="5"/>
      <c r="K28" s="4"/>
      <c r="L28" s="5"/>
      <c r="M28" s="4"/>
      <c r="N28" s="5"/>
    </row>
    <row r="29" spans="1:14" ht="12.75">
      <c r="A29" s="439" t="s">
        <v>24</v>
      </c>
      <c r="B29" s="85" t="s">
        <v>94</v>
      </c>
      <c r="C29" s="162">
        <v>1980</v>
      </c>
      <c r="D29" s="185">
        <f>(8.73+3.394+0.437+0.015)*1.075*1.2</f>
        <v>16.223039999999997</v>
      </c>
      <c r="E29" s="435">
        <v>120</v>
      </c>
      <c r="F29" s="362">
        <v>58.17</v>
      </c>
      <c r="G29" s="15">
        <v>1091</v>
      </c>
      <c r="H29" s="10">
        <v>56.19</v>
      </c>
      <c r="I29" s="4"/>
      <c r="J29" s="5"/>
      <c r="K29" s="4"/>
      <c r="L29" s="5"/>
      <c r="M29" s="4"/>
      <c r="N29" s="5"/>
    </row>
    <row r="30" spans="1:14" ht="12.75">
      <c r="A30" s="438"/>
      <c r="B30" s="81" t="s">
        <v>95</v>
      </c>
      <c r="C30" s="89">
        <v>17.25</v>
      </c>
      <c r="D30" s="188">
        <f>54.258*1.075*1.2</f>
        <v>69.99282</v>
      </c>
      <c r="E30" s="446"/>
      <c r="F30" s="363"/>
      <c r="G30" s="8">
        <v>14666</v>
      </c>
      <c r="H30" s="13">
        <v>6.91</v>
      </c>
      <c r="I30" s="4"/>
      <c r="J30" s="5"/>
      <c r="K30" s="4"/>
      <c r="L30" s="5"/>
      <c r="M30" s="4"/>
      <c r="N30" s="5"/>
    </row>
    <row r="31" spans="1:14" ht="12.75">
      <c r="A31" s="439" t="s">
        <v>25</v>
      </c>
      <c r="B31" s="85" t="s">
        <v>94</v>
      </c>
      <c r="C31" s="162">
        <v>2160</v>
      </c>
      <c r="D31" s="185">
        <f>(8.73+3.394+0.437+0.015)*1.075*1.2</f>
        <v>16.223039999999997</v>
      </c>
      <c r="E31" s="435">
        <v>104</v>
      </c>
      <c r="F31" s="362">
        <v>58.17</v>
      </c>
      <c r="G31" s="15">
        <v>1091</v>
      </c>
      <c r="H31" s="10">
        <v>56.19</v>
      </c>
      <c r="I31" s="4"/>
      <c r="J31" s="5"/>
      <c r="K31" s="4"/>
      <c r="L31" s="5"/>
      <c r="M31" s="4"/>
      <c r="N31" s="5"/>
    </row>
    <row r="32" spans="1:14" ht="12.75">
      <c r="A32" s="438"/>
      <c r="B32" s="81" t="s">
        <v>95</v>
      </c>
      <c r="C32" s="89">
        <v>17.25</v>
      </c>
      <c r="D32" s="188">
        <f>54.258*1.075*1.2</f>
        <v>69.99282</v>
      </c>
      <c r="E32" s="446"/>
      <c r="F32" s="363"/>
      <c r="G32" s="8">
        <v>21083</v>
      </c>
      <c r="H32" s="13">
        <v>6.91</v>
      </c>
      <c r="I32" s="4"/>
      <c r="J32" s="5"/>
      <c r="K32" s="4"/>
      <c r="L32" s="5"/>
      <c r="M32" s="4"/>
      <c r="N32" s="5"/>
    </row>
    <row r="33" spans="1:14" ht="12.75">
      <c r="A33" s="439" t="s">
        <v>26</v>
      </c>
      <c r="B33" s="85" t="s">
        <v>94</v>
      </c>
      <c r="C33" s="162">
        <v>2370</v>
      </c>
      <c r="D33" s="185">
        <f>(8.73+3.394+0.437+0.015)*1.075*1.2</f>
        <v>16.223039999999997</v>
      </c>
      <c r="E33" s="435">
        <v>66</v>
      </c>
      <c r="F33" s="362">
        <v>58.17</v>
      </c>
      <c r="G33" s="15">
        <v>1091</v>
      </c>
      <c r="H33" s="10">
        <v>56.19</v>
      </c>
      <c r="I33" s="9"/>
      <c r="J33" s="10"/>
      <c r="K33" s="9"/>
      <c r="L33" s="10"/>
      <c r="M33" s="9"/>
      <c r="N33" s="10"/>
    </row>
    <row r="34" spans="1:14" ht="13.5" thickBot="1">
      <c r="A34" s="472"/>
      <c r="B34" s="86" t="s">
        <v>95</v>
      </c>
      <c r="C34" s="89">
        <v>17.25</v>
      </c>
      <c r="D34" s="188">
        <f>54.258*1.075*1.2</f>
        <v>69.99282</v>
      </c>
      <c r="E34" s="445"/>
      <c r="F34" s="345"/>
      <c r="G34" s="259">
        <v>27569</v>
      </c>
      <c r="H34" s="13">
        <v>6.91</v>
      </c>
      <c r="I34" s="2"/>
      <c r="J34" s="3"/>
      <c r="K34" s="2"/>
      <c r="L34" s="3"/>
      <c r="M34" s="2"/>
      <c r="N34" s="3"/>
    </row>
    <row r="35" spans="1:14" ht="15" thickTop="1">
      <c r="A35" s="16"/>
      <c r="B35" s="16"/>
      <c r="C35" s="16"/>
      <c r="D35" s="16"/>
      <c r="E35" s="16"/>
      <c r="F35" s="16"/>
      <c r="G35" s="16"/>
      <c r="H35" s="16"/>
      <c r="I35" s="1"/>
      <c r="J35" s="1"/>
      <c r="K35" s="1"/>
      <c r="L35" s="1"/>
      <c r="M35" s="1"/>
      <c r="N35" s="1"/>
    </row>
    <row r="36" spans="1:14" s="27" customFormat="1" ht="12.75">
      <c r="A36" s="347"/>
      <c r="B36" s="347"/>
      <c r="C36" s="347"/>
      <c r="D36" s="348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347"/>
      <c r="C38" s="347"/>
      <c r="D38" s="347"/>
      <c r="E38" s="348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347"/>
      <c r="C39" s="347"/>
      <c r="D39" s="347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"/>
      <c r="J40" s="1"/>
      <c r="K40" s="1"/>
      <c r="L40" s="1"/>
      <c r="M40" s="1"/>
      <c r="N40" s="1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</sheetData>
  <sheetProtection/>
  <mergeCells count="55"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E17:E18"/>
    <mergeCell ref="F17:F18"/>
    <mergeCell ref="G8:N8"/>
    <mergeCell ref="D9:D10"/>
    <mergeCell ref="E9:E10"/>
    <mergeCell ref="M9:N9"/>
    <mergeCell ref="I9:J9"/>
    <mergeCell ref="B8:D8"/>
    <mergeCell ref="E8:F8"/>
    <mergeCell ref="F13:F14"/>
    <mergeCell ref="F15:F16"/>
    <mergeCell ref="B9:C10"/>
    <mergeCell ref="A11:A12"/>
    <mergeCell ref="A13:A14"/>
    <mergeCell ref="A15:A16"/>
    <mergeCell ref="E15:E16"/>
    <mergeCell ref="E13:E14"/>
    <mergeCell ref="A23:A24"/>
    <mergeCell ref="E23:E24"/>
    <mergeCell ref="A17:A18"/>
    <mergeCell ref="F19:F20"/>
    <mergeCell ref="F23:F24"/>
    <mergeCell ref="A19:A20"/>
    <mergeCell ref="E19:E20"/>
    <mergeCell ref="A21:A22"/>
    <mergeCell ref="E21:E22"/>
    <mergeCell ref="F21:F22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8">
      <selection activeCell="E48" sqref="E48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8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24" customFormat="1" ht="15">
      <c r="A1" s="19" t="s">
        <v>41</v>
      </c>
      <c r="B1" s="17" t="s">
        <v>47</v>
      </c>
      <c r="C1" s="17"/>
      <c r="D1" s="18"/>
      <c r="E1" s="18"/>
      <c r="F1" s="18"/>
      <c r="G1" s="18"/>
      <c r="H1" s="18"/>
      <c r="I1" s="471" t="s">
        <v>29</v>
      </c>
      <c r="J1" s="471"/>
      <c r="K1" s="471"/>
      <c r="L1" s="18">
        <v>315</v>
      </c>
      <c r="M1" s="18"/>
      <c r="N1" s="18"/>
    </row>
    <row r="2" spans="1:14" s="24" customFormat="1" ht="15">
      <c r="A2" s="17" t="s">
        <v>1</v>
      </c>
      <c r="B2" s="17" t="s">
        <v>106</v>
      </c>
      <c r="C2" s="17"/>
      <c r="D2" s="18"/>
      <c r="E2" s="18"/>
      <c r="F2" s="18"/>
      <c r="G2" s="18"/>
      <c r="H2" s="18"/>
      <c r="I2" s="471" t="s">
        <v>2</v>
      </c>
      <c r="J2" s="471"/>
      <c r="K2" s="471"/>
      <c r="L2" s="18">
        <v>3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471" t="s">
        <v>3</v>
      </c>
      <c r="J3" s="471"/>
      <c r="K3" s="471"/>
      <c r="L3" s="18" t="s">
        <v>49</v>
      </c>
      <c r="M3" s="18"/>
      <c r="N3" s="18"/>
    </row>
    <row r="4" spans="1:14" s="24" customFormat="1" ht="15">
      <c r="A4" s="17" t="s">
        <v>4</v>
      </c>
      <c r="B4" s="17">
        <v>56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/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375" t="s">
        <v>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4" ht="13.5" thickBo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16.5" thickBot="1" thickTop="1">
      <c r="A8" s="353" t="s">
        <v>6</v>
      </c>
      <c r="B8" s="357" t="s">
        <v>7</v>
      </c>
      <c r="C8" s="358"/>
      <c r="D8" s="346"/>
      <c r="E8" s="357" t="s">
        <v>11</v>
      </c>
      <c r="F8" s="346"/>
      <c r="G8" s="381" t="s">
        <v>15</v>
      </c>
      <c r="H8" s="382"/>
      <c r="I8" s="382"/>
      <c r="J8" s="382"/>
      <c r="K8" s="382"/>
      <c r="L8" s="382"/>
      <c r="M8" s="382"/>
      <c r="N8" s="350"/>
    </row>
    <row r="9" spans="1:14" ht="13.5" thickTop="1">
      <c r="A9" s="354"/>
      <c r="B9" s="329" t="s">
        <v>8</v>
      </c>
      <c r="C9" s="372"/>
      <c r="D9" s="344" t="s">
        <v>9</v>
      </c>
      <c r="E9" s="444" t="s">
        <v>10</v>
      </c>
      <c r="F9" s="344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55"/>
      <c r="B10" s="442"/>
      <c r="C10" s="356"/>
      <c r="D10" s="345"/>
      <c r="E10" s="445"/>
      <c r="F10" s="345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70" t="s">
        <v>16</v>
      </c>
      <c r="B11" s="80" t="s">
        <v>94</v>
      </c>
      <c r="C11" s="171">
        <v>5129</v>
      </c>
      <c r="D11" s="172">
        <f>(6.29+2.177+0.437+0.015)*1.075*1.2</f>
        <v>11.50551</v>
      </c>
      <c r="E11" s="444">
        <f>96</f>
        <v>96</v>
      </c>
      <c r="F11" s="344">
        <v>52.47</v>
      </c>
      <c r="G11" s="200"/>
      <c r="H11" s="201"/>
      <c r="I11" s="6"/>
      <c r="J11" s="7"/>
      <c r="K11" s="6"/>
      <c r="L11" s="7"/>
      <c r="M11" s="6"/>
      <c r="N11" s="7"/>
    </row>
    <row r="12" spans="1:14" ht="15.75" customHeight="1">
      <c r="A12" s="440"/>
      <c r="B12" s="83" t="s">
        <v>101</v>
      </c>
      <c r="C12" s="88">
        <v>2404</v>
      </c>
      <c r="D12" s="173">
        <f>(4.04+0.726+0.437+0.015)*1.075*1.2</f>
        <v>6.7312199999999995</v>
      </c>
      <c r="E12" s="436"/>
      <c r="F12" s="431"/>
      <c r="G12" s="202"/>
      <c r="H12" s="203"/>
      <c r="I12" s="6"/>
      <c r="J12" s="7"/>
      <c r="K12" s="6"/>
      <c r="L12" s="7"/>
      <c r="M12" s="6"/>
      <c r="N12" s="7"/>
    </row>
    <row r="13" spans="1:14" ht="16.5" customHeight="1" thickBot="1">
      <c r="A13" s="438"/>
      <c r="B13" s="81" t="s">
        <v>113</v>
      </c>
      <c r="C13" s="144">
        <v>21.1</v>
      </c>
      <c r="D13" s="175">
        <f>157.732*1.075*1.2</f>
        <v>203.47427999999996</v>
      </c>
      <c r="E13" s="446"/>
      <c r="F13" s="363"/>
      <c r="G13" s="204"/>
      <c r="H13" s="205"/>
      <c r="I13" s="6"/>
      <c r="J13" s="7"/>
      <c r="K13" s="6"/>
      <c r="L13" s="7"/>
      <c r="M13" s="6"/>
      <c r="N13" s="7"/>
    </row>
    <row r="14" spans="1:14" ht="15" customHeight="1">
      <c r="A14" s="439" t="s">
        <v>17</v>
      </c>
      <c r="B14" s="80" t="s">
        <v>94</v>
      </c>
      <c r="C14" s="162">
        <v>4534</v>
      </c>
      <c r="D14" s="172">
        <f>(6.29+2.241+0.437+0.015)*1.075*1.2</f>
        <v>11.58807</v>
      </c>
      <c r="E14" s="435">
        <v>94</v>
      </c>
      <c r="F14" s="464">
        <v>52.47</v>
      </c>
      <c r="G14" s="206"/>
      <c r="H14" s="207"/>
      <c r="I14" s="9"/>
      <c r="J14" s="10"/>
      <c r="K14" s="9"/>
      <c r="L14" s="10"/>
      <c r="M14" s="9"/>
      <c r="N14" s="10"/>
    </row>
    <row r="15" spans="1:14" ht="15" customHeight="1">
      <c r="A15" s="440"/>
      <c r="B15" s="83" t="s">
        <v>101</v>
      </c>
      <c r="C15" s="92">
        <v>2071</v>
      </c>
      <c r="D15" s="173">
        <f>(4.04+0.747+0.437+0.015)*1.075*1.2</f>
        <v>6.75831</v>
      </c>
      <c r="E15" s="436"/>
      <c r="F15" s="465"/>
      <c r="G15" s="202"/>
      <c r="H15" s="203"/>
      <c r="I15" s="6"/>
      <c r="J15" s="7"/>
      <c r="K15" s="6"/>
      <c r="L15" s="7"/>
      <c r="M15" s="6"/>
      <c r="N15" s="7"/>
    </row>
    <row r="16" spans="1:14" ht="15" customHeight="1" thickBot="1">
      <c r="A16" s="438"/>
      <c r="B16" s="81" t="s">
        <v>113</v>
      </c>
      <c r="C16" s="89">
        <v>21.1</v>
      </c>
      <c r="D16" s="175">
        <f>159.562*1.075*1.2</f>
        <v>205.83498</v>
      </c>
      <c r="E16" s="446"/>
      <c r="F16" s="475"/>
      <c r="G16" s="204"/>
      <c r="H16" s="205"/>
      <c r="I16" s="12"/>
      <c r="J16" s="13"/>
      <c r="K16" s="12"/>
      <c r="L16" s="13"/>
      <c r="M16" s="12"/>
      <c r="N16" s="13"/>
    </row>
    <row r="17" spans="1:14" ht="15" customHeight="1">
      <c r="A17" s="439" t="s">
        <v>18</v>
      </c>
      <c r="B17" s="80" t="s">
        <v>94</v>
      </c>
      <c r="C17" s="162">
        <v>5046</v>
      </c>
      <c r="D17" s="172">
        <f>(6.29+2.241+0.437+0.015)*1.075*1.2</f>
        <v>11.58807</v>
      </c>
      <c r="E17" s="435">
        <v>102</v>
      </c>
      <c r="F17" s="464">
        <v>52.47</v>
      </c>
      <c r="G17" s="206"/>
      <c r="H17" s="207"/>
      <c r="I17" s="9"/>
      <c r="J17" s="10"/>
      <c r="K17" s="9"/>
      <c r="L17" s="10"/>
      <c r="M17" s="9"/>
      <c r="N17" s="10"/>
    </row>
    <row r="18" spans="1:14" ht="15" customHeight="1">
      <c r="A18" s="440"/>
      <c r="B18" s="83" t="s">
        <v>101</v>
      </c>
      <c r="C18" s="92">
        <v>2282</v>
      </c>
      <c r="D18" s="173">
        <f>(4.04+0.747+0.437+0.015)*1.075*1.2</f>
        <v>6.75831</v>
      </c>
      <c r="E18" s="436"/>
      <c r="F18" s="465"/>
      <c r="G18" s="202"/>
      <c r="H18" s="203"/>
      <c r="I18" s="6"/>
      <c r="J18" s="7"/>
      <c r="K18" s="6"/>
      <c r="L18" s="7"/>
      <c r="M18" s="6"/>
      <c r="N18" s="7"/>
    </row>
    <row r="19" spans="1:14" ht="15" customHeight="1" thickBot="1">
      <c r="A19" s="438"/>
      <c r="B19" s="81" t="s">
        <v>113</v>
      </c>
      <c r="C19" s="89">
        <v>21.1</v>
      </c>
      <c r="D19" s="175">
        <f>159.562*1.075*1.2</f>
        <v>205.83498</v>
      </c>
      <c r="E19" s="446"/>
      <c r="F19" s="475"/>
      <c r="G19" s="204"/>
      <c r="H19" s="205"/>
      <c r="I19" s="12"/>
      <c r="J19" s="13"/>
      <c r="K19" s="12"/>
      <c r="L19" s="13"/>
      <c r="M19" s="12"/>
      <c r="N19" s="13"/>
    </row>
    <row r="20" spans="1:14" ht="15" customHeight="1">
      <c r="A20" s="439" t="s">
        <v>19</v>
      </c>
      <c r="B20" s="80" t="s">
        <v>94</v>
      </c>
      <c r="C20" s="162">
        <v>3417</v>
      </c>
      <c r="D20" s="172">
        <f>(6.29+2.241+0.437+0.015)*1.075*1.2</f>
        <v>11.58807</v>
      </c>
      <c r="E20" s="435">
        <v>93</v>
      </c>
      <c r="F20" s="464">
        <v>52.47</v>
      </c>
      <c r="G20" s="206"/>
      <c r="H20" s="207"/>
      <c r="I20" s="9"/>
      <c r="J20" s="10"/>
      <c r="K20" s="9"/>
      <c r="L20" s="10"/>
      <c r="M20" s="9"/>
      <c r="N20" s="10"/>
    </row>
    <row r="21" spans="1:14" ht="15" customHeight="1">
      <c r="A21" s="440"/>
      <c r="B21" s="83" t="s">
        <v>101</v>
      </c>
      <c r="C21" s="91">
        <v>1484</v>
      </c>
      <c r="D21" s="173">
        <f>(4.04+0.747+0.437+0.015)*1.075*1.2</f>
        <v>6.75831</v>
      </c>
      <c r="E21" s="436"/>
      <c r="F21" s="465"/>
      <c r="G21" s="202"/>
      <c r="H21" s="203"/>
      <c r="I21" s="6"/>
      <c r="J21" s="7"/>
      <c r="K21" s="6"/>
      <c r="L21" s="7"/>
      <c r="M21" s="6"/>
      <c r="N21" s="7"/>
    </row>
    <row r="22" spans="1:14" ht="13.5" thickBot="1">
      <c r="A22" s="438"/>
      <c r="B22" s="81" t="s">
        <v>113</v>
      </c>
      <c r="C22" s="89">
        <v>21.1</v>
      </c>
      <c r="D22" s="175">
        <f>159.562*1.075*1.2</f>
        <v>205.83498</v>
      </c>
      <c r="E22" s="446"/>
      <c r="F22" s="475"/>
      <c r="G22" s="204"/>
      <c r="H22" s="205"/>
      <c r="I22" s="12"/>
      <c r="J22" s="13"/>
      <c r="K22" s="12"/>
      <c r="L22" s="13"/>
      <c r="M22" s="12"/>
      <c r="N22" s="13"/>
    </row>
    <row r="23" spans="1:14" ht="12.75">
      <c r="A23" s="439" t="s">
        <v>20</v>
      </c>
      <c r="B23" s="80" t="s">
        <v>94</v>
      </c>
      <c r="C23" s="90">
        <v>462</v>
      </c>
      <c r="D23" s="172">
        <f>(6.29+2.241+0.437+0.015)*1.075*1.2</f>
        <v>11.58807</v>
      </c>
      <c r="E23" s="435">
        <v>77</v>
      </c>
      <c r="F23" s="464">
        <v>52.47</v>
      </c>
      <c r="G23" s="206"/>
      <c r="H23" s="207"/>
      <c r="I23" s="9"/>
      <c r="J23" s="10"/>
      <c r="K23" s="9"/>
      <c r="L23" s="10"/>
      <c r="M23" s="9"/>
      <c r="N23" s="10"/>
    </row>
    <row r="24" spans="1:14" ht="12.75">
      <c r="A24" s="440"/>
      <c r="B24" s="83" t="s">
        <v>101</v>
      </c>
      <c r="C24" s="91">
        <v>83</v>
      </c>
      <c r="D24" s="173">
        <f>(4.04+0.747+0.437+0.015)*1.075*1.2</f>
        <v>6.75831</v>
      </c>
      <c r="E24" s="436"/>
      <c r="F24" s="465"/>
      <c r="G24" s="202"/>
      <c r="H24" s="203"/>
      <c r="I24" s="6"/>
      <c r="J24" s="7"/>
      <c r="K24" s="6"/>
      <c r="L24" s="7"/>
      <c r="M24" s="6"/>
      <c r="N24" s="7"/>
    </row>
    <row r="25" spans="1:14" ht="13.5" thickBot="1">
      <c r="A25" s="438"/>
      <c r="B25" s="81" t="s">
        <v>113</v>
      </c>
      <c r="C25" s="89">
        <v>21.1</v>
      </c>
      <c r="D25" s="175">
        <f>159.562*1.075*1.2</f>
        <v>205.83498</v>
      </c>
      <c r="E25" s="446"/>
      <c r="F25" s="475"/>
      <c r="G25" s="208"/>
      <c r="H25" s="209"/>
      <c r="I25" s="12"/>
      <c r="J25" s="13"/>
      <c r="K25" s="12"/>
      <c r="L25" s="13"/>
      <c r="M25" s="12"/>
      <c r="N25" s="13"/>
    </row>
    <row r="26" spans="1:14" ht="12.75">
      <c r="A26" s="439" t="s">
        <v>68</v>
      </c>
      <c r="B26" s="80" t="s">
        <v>94</v>
      </c>
      <c r="C26" s="90">
        <v>506</v>
      </c>
      <c r="D26" s="172">
        <f>(6.29+2.241+0.437+0.015)*1.075*1.2</f>
        <v>11.58807</v>
      </c>
      <c r="E26" s="435">
        <v>85</v>
      </c>
      <c r="F26" s="464">
        <v>52.47</v>
      </c>
      <c r="G26" s="206"/>
      <c r="H26" s="207"/>
      <c r="I26" s="9"/>
      <c r="J26" s="10"/>
      <c r="K26" s="9"/>
      <c r="L26" s="10"/>
      <c r="M26" s="9"/>
      <c r="N26" s="10"/>
    </row>
    <row r="27" spans="1:14" ht="12.75">
      <c r="A27" s="440"/>
      <c r="B27" s="83" t="s">
        <v>101</v>
      </c>
      <c r="C27" s="91">
        <v>97</v>
      </c>
      <c r="D27" s="173">
        <f>(4.04+0.747+0.437+0.015)*1.075*1.2</f>
        <v>6.75831</v>
      </c>
      <c r="E27" s="436"/>
      <c r="F27" s="465"/>
      <c r="G27" s="202"/>
      <c r="H27" s="203"/>
      <c r="I27" s="6"/>
      <c r="J27" s="7"/>
      <c r="K27" s="6"/>
      <c r="L27" s="7"/>
      <c r="M27" s="6"/>
      <c r="N27" s="7"/>
    </row>
    <row r="28" spans="1:14" ht="13.5" thickBot="1">
      <c r="A28" s="438"/>
      <c r="B28" s="81" t="s">
        <v>113</v>
      </c>
      <c r="C28" s="89">
        <v>21.1</v>
      </c>
      <c r="D28" s="175">
        <f>159.562*1.075*1.2</f>
        <v>205.83498</v>
      </c>
      <c r="E28" s="446"/>
      <c r="F28" s="475"/>
      <c r="G28" s="208"/>
      <c r="H28" s="209"/>
      <c r="I28" s="12"/>
      <c r="J28" s="13"/>
      <c r="K28" s="12"/>
      <c r="L28" s="13"/>
      <c r="M28" s="12"/>
      <c r="N28" s="13"/>
    </row>
    <row r="29" spans="1:14" ht="12.75">
      <c r="A29" s="439" t="s">
        <v>69</v>
      </c>
      <c r="B29" s="80" t="s">
        <v>94</v>
      </c>
      <c r="C29" s="90">
        <v>141</v>
      </c>
      <c r="D29" s="172">
        <f>(6.29+2.241+0.437+0.015)*1.075*1.2</f>
        <v>11.58807</v>
      </c>
      <c r="E29" s="435">
        <v>67</v>
      </c>
      <c r="F29" s="362">
        <v>52.47</v>
      </c>
      <c r="G29" s="206"/>
      <c r="H29" s="207"/>
      <c r="I29" s="9"/>
      <c r="J29" s="10"/>
      <c r="K29" s="9"/>
      <c r="L29" s="10"/>
      <c r="M29" s="9"/>
      <c r="N29" s="10"/>
    </row>
    <row r="30" spans="1:14" ht="12.75">
      <c r="A30" s="440"/>
      <c r="B30" s="83" t="s">
        <v>101</v>
      </c>
      <c r="C30" s="91">
        <v>80</v>
      </c>
      <c r="D30" s="173">
        <f>(4.04+0.747+0.437+0.015)*1.075*1.2</f>
        <v>6.75831</v>
      </c>
      <c r="E30" s="436"/>
      <c r="F30" s="431"/>
      <c r="G30" s="202"/>
      <c r="H30" s="203"/>
      <c r="I30" s="6"/>
      <c r="J30" s="7"/>
      <c r="K30" s="6"/>
      <c r="L30" s="7"/>
      <c r="M30" s="6"/>
      <c r="N30" s="7"/>
    </row>
    <row r="31" spans="1:14" ht="13.5" thickBot="1">
      <c r="A31" s="438"/>
      <c r="B31" s="81" t="s">
        <v>113</v>
      </c>
      <c r="C31" s="89">
        <v>21.1</v>
      </c>
      <c r="D31" s="175">
        <f>159.562*1.075*1.2</f>
        <v>205.83498</v>
      </c>
      <c r="E31" s="446"/>
      <c r="F31" s="363"/>
      <c r="G31" s="208"/>
      <c r="H31" s="209"/>
      <c r="I31" s="12"/>
      <c r="J31" s="13"/>
      <c r="K31" s="12"/>
      <c r="L31" s="13"/>
      <c r="M31" s="12"/>
      <c r="N31" s="13"/>
    </row>
    <row r="32" spans="1:14" ht="12.75">
      <c r="A32" s="439" t="s">
        <v>22</v>
      </c>
      <c r="B32" s="80" t="s">
        <v>94</v>
      </c>
      <c r="C32" s="90">
        <v>222</v>
      </c>
      <c r="D32" s="172">
        <f>(6.29+2.241+0.437+0.015)*1.075*1.2</f>
        <v>11.58807</v>
      </c>
      <c r="E32" s="435">
        <f>45</f>
        <v>45</v>
      </c>
      <c r="F32" s="362">
        <v>52.47</v>
      </c>
      <c r="G32" s="476"/>
      <c r="H32" s="479"/>
      <c r="I32" s="12"/>
      <c r="J32" s="13"/>
      <c r="K32" s="12"/>
      <c r="L32" s="13"/>
      <c r="M32" s="12"/>
      <c r="N32" s="13"/>
    </row>
    <row r="33" spans="1:14" ht="12.75">
      <c r="A33" s="440"/>
      <c r="B33" s="83" t="s">
        <v>101</v>
      </c>
      <c r="C33" s="91">
        <v>85</v>
      </c>
      <c r="D33" s="173">
        <f>(4.04+0.747+0.437+0.015)*1.075*1.2</f>
        <v>6.75831</v>
      </c>
      <c r="E33" s="436"/>
      <c r="F33" s="431"/>
      <c r="G33" s="477"/>
      <c r="H33" s="480"/>
      <c r="I33" s="12"/>
      <c r="J33" s="13"/>
      <c r="K33" s="12"/>
      <c r="L33" s="13"/>
      <c r="M33" s="12"/>
      <c r="N33" s="13"/>
    </row>
    <row r="34" spans="1:14" ht="13.5" thickBot="1">
      <c r="A34" s="438"/>
      <c r="B34" s="81" t="s">
        <v>113</v>
      </c>
      <c r="C34" s="89">
        <v>21.1</v>
      </c>
      <c r="D34" s="175">
        <f>159.562*1.075*1.2</f>
        <v>205.83498</v>
      </c>
      <c r="E34" s="446"/>
      <c r="F34" s="363"/>
      <c r="G34" s="478"/>
      <c r="H34" s="481"/>
      <c r="I34" s="4"/>
      <c r="J34" s="5"/>
      <c r="K34" s="4"/>
      <c r="L34" s="5"/>
      <c r="M34" s="4"/>
      <c r="N34" s="5"/>
    </row>
    <row r="35" spans="1:14" ht="12.75">
      <c r="A35" s="439" t="s">
        <v>23</v>
      </c>
      <c r="B35" s="85" t="s">
        <v>94</v>
      </c>
      <c r="C35" s="90">
        <v>660</v>
      </c>
      <c r="D35" s="172">
        <f>(9.7+2.241+0.437+0.015)*1.075*1.2</f>
        <v>15.986969999999998</v>
      </c>
      <c r="E35" s="435">
        <v>29</v>
      </c>
      <c r="F35" s="362">
        <v>58.17</v>
      </c>
      <c r="G35" s="208"/>
      <c r="H35" s="209"/>
      <c r="I35" s="4"/>
      <c r="J35" s="5"/>
      <c r="K35" s="4"/>
      <c r="L35" s="5"/>
      <c r="M35" s="4"/>
      <c r="N35" s="5"/>
    </row>
    <row r="36" spans="1:14" ht="12.75">
      <c r="A36" s="440"/>
      <c r="B36" s="81" t="s">
        <v>95</v>
      </c>
      <c r="C36" s="91">
        <v>95</v>
      </c>
      <c r="D36" s="173">
        <f>(6.15+0.747+0.437+0.015)*1.075*1.2</f>
        <v>9.48021</v>
      </c>
      <c r="E36" s="436"/>
      <c r="F36" s="431"/>
      <c r="G36" s="208"/>
      <c r="H36" s="209"/>
      <c r="I36" s="4"/>
      <c r="J36" s="5"/>
      <c r="K36" s="4"/>
      <c r="L36" s="5"/>
      <c r="M36" s="4"/>
      <c r="N36" s="5"/>
    </row>
    <row r="37" spans="1:14" ht="13.5" thickBot="1">
      <c r="A37" s="438"/>
      <c r="B37" s="81" t="s">
        <v>107</v>
      </c>
      <c r="C37" s="89">
        <v>21.1</v>
      </c>
      <c r="D37" s="175">
        <f>159.562*1.075*1.2</f>
        <v>205.83498</v>
      </c>
      <c r="E37" s="446"/>
      <c r="F37" s="363"/>
      <c r="G37" s="212"/>
      <c r="H37" s="213"/>
      <c r="I37" s="4"/>
      <c r="J37" s="5"/>
      <c r="K37" s="4"/>
      <c r="L37" s="5"/>
      <c r="M37" s="4"/>
      <c r="N37" s="5"/>
    </row>
    <row r="38" spans="1:14" ht="12.75">
      <c r="A38" s="439" t="s">
        <v>24</v>
      </c>
      <c r="B38" s="85" t="s">
        <v>94</v>
      </c>
      <c r="C38" s="162">
        <v>1966</v>
      </c>
      <c r="D38" s="172">
        <f>(9.7+2.473+0.437+0.015)*1.075*1.2</f>
        <v>16.286249999999995</v>
      </c>
      <c r="E38" s="435">
        <v>39</v>
      </c>
      <c r="F38" s="362">
        <v>58.17</v>
      </c>
      <c r="G38" s="212"/>
      <c r="H38" s="213"/>
      <c r="I38" s="4"/>
      <c r="J38" s="5"/>
      <c r="K38" s="4"/>
      <c r="L38" s="5"/>
      <c r="M38" s="4"/>
      <c r="N38" s="5"/>
    </row>
    <row r="39" spans="1:14" ht="12.75">
      <c r="A39" s="440"/>
      <c r="B39" s="81" t="s">
        <v>95</v>
      </c>
      <c r="C39" s="91">
        <v>383</v>
      </c>
      <c r="D39" s="173">
        <f>(6.15+0.824+0.437+0.015)*1.075*1.2</f>
        <v>9.57954</v>
      </c>
      <c r="E39" s="436"/>
      <c r="F39" s="431"/>
      <c r="G39" s="212"/>
      <c r="H39" s="213"/>
      <c r="I39" s="4"/>
      <c r="J39" s="5"/>
      <c r="K39" s="4"/>
      <c r="L39" s="5"/>
      <c r="M39" s="4"/>
      <c r="N39" s="5"/>
    </row>
    <row r="40" spans="1:14" ht="13.5" thickBot="1">
      <c r="A40" s="438"/>
      <c r="B40" s="81" t="s">
        <v>107</v>
      </c>
      <c r="C40" s="89">
        <v>21.1</v>
      </c>
      <c r="D40" s="175">
        <f>173.626*1.075*1.2</f>
        <v>223.97754</v>
      </c>
      <c r="E40" s="446"/>
      <c r="F40" s="363"/>
      <c r="G40" s="212"/>
      <c r="H40" s="213"/>
      <c r="I40" s="4"/>
      <c r="J40" s="5"/>
      <c r="K40" s="4"/>
      <c r="L40" s="5"/>
      <c r="M40" s="4"/>
      <c r="N40" s="5"/>
    </row>
    <row r="41" spans="1:14" ht="12.75">
      <c r="A41" s="439" t="s">
        <v>25</v>
      </c>
      <c r="B41" s="85" t="s">
        <v>94</v>
      </c>
      <c r="C41" s="90">
        <v>2795</v>
      </c>
      <c r="D41" s="172">
        <f>(9.7+2.473+0.437+0.015)*1.075*1.2</f>
        <v>16.286249999999995</v>
      </c>
      <c r="E41" s="435">
        <v>34</v>
      </c>
      <c r="F41" s="362">
        <v>58.17</v>
      </c>
      <c r="G41" s="212"/>
      <c r="H41" s="213"/>
      <c r="I41" s="4"/>
      <c r="J41" s="5"/>
      <c r="K41" s="4"/>
      <c r="L41" s="5"/>
      <c r="M41" s="4"/>
      <c r="N41" s="5"/>
    </row>
    <row r="42" spans="1:14" ht="12.75">
      <c r="A42" s="440"/>
      <c r="B42" s="81" t="s">
        <v>95</v>
      </c>
      <c r="C42" s="91">
        <v>1121</v>
      </c>
      <c r="D42" s="173">
        <f>(6.15+0.824+0.437+0.015)*1.075*1.2</f>
        <v>9.57954</v>
      </c>
      <c r="E42" s="436"/>
      <c r="F42" s="431"/>
      <c r="G42" s="212"/>
      <c r="H42" s="213"/>
      <c r="I42" s="4"/>
      <c r="J42" s="5"/>
      <c r="K42" s="4"/>
      <c r="L42" s="5"/>
      <c r="M42" s="4"/>
      <c r="N42" s="5"/>
    </row>
    <row r="43" spans="1:14" ht="13.5" thickBot="1">
      <c r="A43" s="438"/>
      <c r="B43" s="81" t="s">
        <v>107</v>
      </c>
      <c r="C43" s="89">
        <v>21.1</v>
      </c>
      <c r="D43" s="175">
        <f>173.626*1.075*1.2</f>
        <v>223.97754</v>
      </c>
      <c r="E43" s="446"/>
      <c r="F43" s="363"/>
      <c r="G43" s="212"/>
      <c r="H43" s="213"/>
      <c r="I43" s="4"/>
      <c r="J43" s="5"/>
      <c r="K43" s="4"/>
      <c r="L43" s="5"/>
      <c r="M43" s="4"/>
      <c r="N43" s="5"/>
    </row>
    <row r="44" spans="1:14" ht="12.75">
      <c r="A44" s="439" t="s">
        <v>26</v>
      </c>
      <c r="B44" s="85" t="s">
        <v>94</v>
      </c>
      <c r="C44" s="90">
        <v>4080</v>
      </c>
      <c r="D44" s="172">
        <f>(9.7+2.473+0.437+0.015)*1.075*1.2</f>
        <v>16.286249999999995</v>
      </c>
      <c r="E44" s="435">
        <v>46</v>
      </c>
      <c r="F44" s="362">
        <v>58.17</v>
      </c>
      <c r="G44" s="210"/>
      <c r="H44" s="211"/>
      <c r="I44" s="9"/>
      <c r="J44" s="10"/>
      <c r="K44" s="9"/>
      <c r="L44" s="10"/>
      <c r="M44" s="9"/>
      <c r="N44" s="10"/>
    </row>
    <row r="45" spans="1:14" ht="12.75">
      <c r="A45" s="440"/>
      <c r="B45" s="81" t="s">
        <v>95</v>
      </c>
      <c r="C45" s="91">
        <v>1788</v>
      </c>
      <c r="D45" s="173">
        <f>(6.15+0.824+0.437+0.015)*1.075*1.2</f>
        <v>9.57954</v>
      </c>
      <c r="E45" s="436"/>
      <c r="F45" s="431"/>
      <c r="G45" s="210"/>
      <c r="H45" s="211"/>
      <c r="I45" s="9"/>
      <c r="J45" s="10"/>
      <c r="K45" s="9"/>
      <c r="L45" s="10"/>
      <c r="M45" s="9"/>
      <c r="N45" s="10"/>
    </row>
    <row r="46" spans="1:14" ht="13.5" thickBot="1">
      <c r="A46" s="472"/>
      <c r="B46" s="81" t="s">
        <v>107</v>
      </c>
      <c r="C46" s="89">
        <v>21.1</v>
      </c>
      <c r="D46" s="175">
        <f>173.626*1.075*1.2</f>
        <v>223.97754</v>
      </c>
      <c r="E46" s="445"/>
      <c r="F46" s="345"/>
      <c r="G46" s="251"/>
      <c r="H46" s="252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7" customFormat="1" ht="12.75">
      <c r="A48" s="347" t="s">
        <v>32</v>
      </c>
      <c r="B48" s="347"/>
      <c r="C48" s="347"/>
      <c r="D48" s="348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47" t="s">
        <v>35</v>
      </c>
      <c r="C50" s="347"/>
      <c r="D50" s="347"/>
      <c r="E50" s="348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47" t="s">
        <v>34</v>
      </c>
      <c r="C51" s="347"/>
      <c r="D51" s="347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"/>
      <c r="L52" s="1"/>
      <c r="M52" s="1"/>
      <c r="N52" s="1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</sheetData>
  <sheetProtection/>
  <mergeCells count="57"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E35:E37"/>
    <mergeCell ref="F17:F19"/>
    <mergeCell ref="F20:F22"/>
    <mergeCell ref="F26:F28"/>
    <mergeCell ref="F29:F31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1:F13"/>
    <mergeCell ref="E14:E16"/>
    <mergeCell ref="F14:F16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2022-01-21T11:47:12Z</dcterms:modified>
  <cp:category/>
  <cp:version/>
  <cp:contentType/>
  <cp:contentStatus/>
</cp:coreProperties>
</file>