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1355" windowHeight="8700" tabRatio="1000" activeTab="12"/>
  </bookViews>
  <sheets>
    <sheet name="невен" sheetId="1" r:id="rId1"/>
    <sheet name="звончић" sheetId="2" r:id="rId2"/>
    <sheet name="лабуд" sheetId="3" r:id="rId3"/>
    <sheet name="лептирић" sheetId="4" r:id="rId4"/>
    <sheet name="колибри" sheetId="5" r:id="rId5"/>
    <sheet name="бисери" sheetId="6" r:id="rId6"/>
    <sheet name="наша радост" sheetId="7" r:id="rId7"/>
    <sheet name="голуб мира" sheetId="8" r:id="rId8"/>
    <sheet name="владо јурић" sheetId="9" r:id="rId9"/>
    <sheet name="пчелица" sheetId="10" r:id="rId10"/>
    <sheet name="дечији клуб-обилић" sheetId="11" r:id="rId11"/>
    <sheet name="пионир" sheetId="12" r:id="rId12"/>
    <sheet name="обдан.змај" sheetId="13" r:id="rId13"/>
    <sheet name="обдан.читлук" sheetId="14" r:id="rId14"/>
    <sheet name="јеленко р.бања" sheetId="15" r:id="rId15"/>
    <sheet name="ADRESE" sheetId="16" state="hidden" r:id="rId16"/>
  </sheets>
  <definedNames>
    <definedName name="_xlnm.Print_Area" localSheetId="0">'невен'!$A$1:$N$39</definedName>
    <definedName name="_xlnm.Print_Titles" localSheetId="5">'бисери'!$1:$10</definedName>
    <definedName name="_xlnm.Print_Titles" localSheetId="8">'владо јурић'!$1:$10</definedName>
    <definedName name="_xlnm.Print_Titles" localSheetId="7">'голуб мира'!$1:$10</definedName>
    <definedName name="_xlnm.Print_Titles" localSheetId="10">'дечији клуб-обилић'!$1:$10</definedName>
    <definedName name="_xlnm.Print_Titles" localSheetId="1">'звончић'!$1:$10</definedName>
    <definedName name="_xlnm.Print_Titles" localSheetId="14">'јеленко р.бања'!$1:$10</definedName>
    <definedName name="_xlnm.Print_Titles" localSheetId="4">'колибри'!$1:$10</definedName>
    <definedName name="_xlnm.Print_Titles" localSheetId="2">'лабуд'!$1:$10</definedName>
    <definedName name="_xlnm.Print_Titles" localSheetId="3">'лептирић'!$1:$10</definedName>
    <definedName name="_xlnm.Print_Titles" localSheetId="6">'наша радост'!$1:$10</definedName>
    <definedName name="_xlnm.Print_Titles" localSheetId="0">'невен'!$1:$10</definedName>
    <definedName name="_xlnm.Print_Titles" localSheetId="12">'обдан.змај'!$1:$10</definedName>
    <definedName name="_xlnm.Print_Titles" localSheetId="13">'обдан.читлук'!$1:$10</definedName>
    <definedName name="_xlnm.Print_Titles" localSheetId="11">'пионир'!$1:$10</definedName>
    <definedName name="_xlnm.Print_Titles" localSheetId="9">'пчелица'!$1:$10</definedName>
  </definedNames>
  <calcPr fullCalcOnLoad="1"/>
</workbook>
</file>

<file path=xl/sharedStrings.xml><?xml version="1.0" encoding="utf-8"?>
<sst xmlns="http://schemas.openxmlformats.org/spreadsheetml/2006/main" count="1257" uniqueCount="118">
  <si>
    <t>МЕСТО</t>
  </si>
  <si>
    <t>АДРЕСА</t>
  </si>
  <si>
    <t>БРОЈ УЧИОНИЦА</t>
  </si>
  <si>
    <t>БРОЈ КЛИМА УРЕЂАЈА</t>
  </si>
  <si>
    <t>БРОЈ ЂАКА</t>
  </si>
  <si>
    <t>ПРЕГЛЕД УТРОШЕНИХ ЕНЕРГЕНАТА</t>
  </si>
  <si>
    <t>МЕСЕЦ</t>
  </si>
  <si>
    <t>СТРУЈА</t>
  </si>
  <si>
    <t>количина (kWh)</t>
  </si>
  <si>
    <t>цена</t>
  </si>
  <si>
    <r>
      <t>количина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)</t>
    </r>
  </si>
  <si>
    <t>ВОДА</t>
  </si>
  <si>
    <t>количина (л)</t>
  </si>
  <si>
    <t xml:space="preserve">дрва </t>
  </si>
  <si>
    <t>угаљ</t>
  </si>
  <si>
    <t>ГРЕЈАЊЕ</t>
  </si>
  <si>
    <t>ЈАНУАР</t>
  </si>
  <si>
    <t>ФЕБРУАР</t>
  </si>
  <si>
    <t>МАРТ</t>
  </si>
  <si>
    <t>АПРИЛ</t>
  </si>
  <si>
    <t>МАЈ</t>
  </si>
  <si>
    <t>ЈУНИ</t>
  </si>
  <si>
    <t>АВГУСТ</t>
  </si>
  <si>
    <t>СЕПТЕМБАР</t>
  </si>
  <si>
    <t>ОКТОБАР</t>
  </si>
  <si>
    <t>НОВЕМБАР</t>
  </si>
  <si>
    <t>ДЕЦЕМБАР</t>
  </si>
  <si>
    <t>даљинско грејање (Топлана)</t>
  </si>
  <si>
    <t>мазут</t>
  </si>
  <si>
    <t>УКУПНА КВАДРАТУРА (m2)</t>
  </si>
  <si>
    <t>количина (кг)</t>
  </si>
  <si>
    <t>ФИСКУЛТУРНА САЛА (ДА/НЕ)</t>
  </si>
  <si>
    <t>* - уписати начин обрачунске вредности</t>
  </si>
  <si>
    <t>1 - према потрошњи</t>
  </si>
  <si>
    <t>3 - на годишњем нивоу</t>
  </si>
  <si>
    <t>2 - по важећем месечном фактору</t>
  </si>
  <si>
    <t>НЕВЕН</t>
  </si>
  <si>
    <t>Босанска 21</t>
  </si>
  <si>
    <t>Крушевац</t>
  </si>
  <si>
    <t>КУХИЊА ПИОНИР</t>
  </si>
  <si>
    <t>ГОЛУБ МИРА</t>
  </si>
  <si>
    <t>НАЗИВ ВРТИЋА</t>
  </si>
  <si>
    <t>ЛАБУД</t>
  </si>
  <si>
    <t>ЛЕПТИРИЋ</t>
  </si>
  <si>
    <t>НАША РАДОСТ</t>
  </si>
  <si>
    <t>ДЕЧИЈИ КЛУБ (ЗГРАДА ОБИЛИЋ)</t>
  </si>
  <si>
    <t>БИСЕРИ</t>
  </si>
  <si>
    <t>ВЛАДО ЈУРИЋ</t>
  </si>
  <si>
    <t>ПЧЕЛИЦА</t>
  </si>
  <si>
    <t>/</t>
  </si>
  <si>
    <t>ЈЕЛЕНКО Р.Бања</t>
  </si>
  <si>
    <t>Забавиште ЧИТЛУК</t>
  </si>
  <si>
    <t>Забавиште ЗМАЈ Мудраковац</t>
  </si>
  <si>
    <t>Слатинска 14</t>
  </si>
  <si>
    <t>Сликара Миловановића 2</t>
  </si>
  <si>
    <t>Ћирила и Методија 5</t>
  </si>
  <si>
    <t>Обилићева</t>
  </si>
  <si>
    <t>Војводе Степе 18</t>
  </si>
  <si>
    <t>Живорада Пауновића 10</t>
  </si>
  <si>
    <t xml:space="preserve">Блаже Думовића </t>
  </si>
  <si>
    <t xml:space="preserve">Ратка Пешића </t>
  </si>
  <si>
    <t>не</t>
  </si>
  <si>
    <t>да - за потребе предшколске деце</t>
  </si>
  <si>
    <t>Рибарска Бања</t>
  </si>
  <si>
    <t>капацитет 80</t>
  </si>
  <si>
    <t>цене су приказане без пдв-а</t>
  </si>
  <si>
    <r>
      <t>количина (m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)</t>
    </r>
  </si>
  <si>
    <r>
      <t>количина (m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)</t>
    </r>
  </si>
  <si>
    <t>ЈУН</t>
  </si>
  <si>
    <t>ЈУЛ</t>
  </si>
  <si>
    <t>BISERI</t>
  </si>
  <si>
    <t>ŽIVORADA PAUNOVIĆA</t>
  </si>
  <si>
    <t>ZMAJ</t>
  </si>
  <si>
    <t>BLAŽE DUMOVIĆA MUDRAKOVAC</t>
  </si>
  <si>
    <t>ZVONČIĆ</t>
  </si>
  <si>
    <t>ŽIVKA MIĆIĆ-SESTRE POPOVIĆ</t>
  </si>
  <si>
    <t>NEVEN</t>
  </si>
  <si>
    <t>BOSANSKA</t>
  </si>
  <si>
    <t>NAŠA RADOST</t>
  </si>
  <si>
    <t>SLATINSKA</t>
  </si>
  <si>
    <t>PIONIR</t>
  </si>
  <si>
    <t>RADOMIRA JAKOVLJEVIĆA</t>
  </si>
  <si>
    <t>LEPTIRIĆ</t>
  </si>
  <si>
    <t>LUKE IVANOVIĆA</t>
  </si>
  <si>
    <t>KOLIBRI</t>
  </si>
  <si>
    <t>SLIKARA MILOVANOVIĆA</t>
  </si>
  <si>
    <t>GOLUB MIRA</t>
  </si>
  <si>
    <t>TRIGVE LI</t>
  </si>
  <si>
    <t>PČELICA</t>
  </si>
  <si>
    <t>DAMJANA MAKSIĆA - RADOJKE ZAJIĆ</t>
  </si>
  <si>
    <t>VLADO JURIĆ</t>
  </si>
  <si>
    <t>ŽIKICE TALEVIĆA</t>
  </si>
  <si>
    <t>Нова Балшићева 6 (Р.Зајић)</t>
  </si>
  <si>
    <t>Др.Салка 2 (Тригве Ли)</t>
  </si>
  <si>
    <t>ВТ</t>
  </si>
  <si>
    <t>НТ</t>
  </si>
  <si>
    <r>
      <t>колич. (m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)</t>
    </r>
  </si>
  <si>
    <t>колич. (кг)</t>
  </si>
  <si>
    <t>ЛОЖ УЉЕ</t>
  </si>
  <si>
    <t>колич.*3 (лит)</t>
  </si>
  <si>
    <t>VT</t>
  </si>
  <si>
    <t>NT</t>
  </si>
  <si>
    <t>JT</t>
  </si>
  <si>
    <t>ЗВОНЧИЋ (ЖИВКА МИЋИЋ)</t>
  </si>
  <si>
    <t xml:space="preserve">КОЛИБРИ </t>
  </si>
  <si>
    <t>Јована Дучића 7 (сестре Поповић 6)</t>
  </si>
  <si>
    <t>Липљанска 7 (Ж.Tалевића 71)</t>
  </si>
  <si>
    <t>СНАГА</t>
  </si>
  <si>
    <t>ФИСКУЛТУРНА САЛА</t>
  </si>
  <si>
    <t>да - за предшколску децу</t>
  </si>
  <si>
    <t>snaga</t>
  </si>
  <si>
    <t>os</t>
  </si>
  <si>
    <t>REAKT</t>
  </si>
  <si>
    <t>OS</t>
  </si>
  <si>
    <t>kw</t>
  </si>
  <si>
    <t>nt</t>
  </si>
  <si>
    <t>Радомира Јаковљевића 35</t>
  </si>
  <si>
    <t>17,,25</t>
  </si>
</sst>
</file>

<file path=xl/styles.xml><?xml version="1.0" encoding="utf-8"?>
<styleSheet xmlns="http://schemas.openxmlformats.org/spreadsheetml/2006/main">
  <numFmts count="39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.0"/>
    <numFmt numFmtId="181" formatCode="#,##0.00\ &quot;Дин.&quot;"/>
    <numFmt numFmtId="182" formatCode="#,##0.00\ _Д_и_н_."/>
    <numFmt numFmtId="183" formatCode="0.000"/>
    <numFmt numFmtId="184" formatCode="#,##0.000"/>
    <numFmt numFmtId="185" formatCode="0.0000"/>
    <numFmt numFmtId="186" formatCode="0.00000"/>
    <numFmt numFmtId="187" formatCode="0.000000"/>
    <numFmt numFmtId="188" formatCode="0.0000000"/>
    <numFmt numFmtId="189" formatCode="0.0"/>
    <numFmt numFmtId="190" formatCode="#,##0.000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</numFmts>
  <fonts count="36">
    <font>
      <sz val="10"/>
      <name val="Arial"/>
      <family val="0"/>
    </font>
    <font>
      <vertAlign val="superscript"/>
      <sz val="10"/>
      <name val="Arial"/>
      <family val="2"/>
    </font>
    <font>
      <sz val="8"/>
      <name val="Arial"/>
      <family val="0"/>
    </font>
    <font>
      <sz val="12"/>
      <name val="Arial"/>
      <family val="0"/>
    </font>
    <font>
      <sz val="14"/>
      <name val="Arial"/>
      <family val="0"/>
    </font>
    <font>
      <b/>
      <sz val="16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kenaten"/>
      <family val="0"/>
    </font>
    <font>
      <sz val="8"/>
      <name val="Akenate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22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ck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ck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ck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n"/>
      <top style="medium"/>
      <bottom>
        <color indexed="63"/>
      </bottom>
    </border>
    <border>
      <left style="thick"/>
      <right style="thin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medium"/>
      <top style="thick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ck"/>
      <right style="thick"/>
      <top style="thin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 style="thick"/>
      <top style="thick"/>
      <bottom style="thick"/>
    </border>
    <border>
      <left style="thick"/>
      <right style="thin"/>
      <top>
        <color indexed="63"/>
      </top>
      <bottom style="thick"/>
    </border>
    <border>
      <left>
        <color indexed="63"/>
      </left>
      <right style="thin"/>
      <top style="thick"/>
      <bottom>
        <color indexed="63"/>
      </bottom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n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ck"/>
    </border>
    <border>
      <left style="thick"/>
      <right style="thick"/>
      <top style="thin"/>
      <bottom style="thin"/>
    </border>
    <border>
      <left style="thick"/>
      <right style="thick"/>
      <top style="thick"/>
      <bottom style="thin"/>
    </border>
    <border>
      <left style="thick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ck"/>
      <top>
        <color indexed="63"/>
      </top>
      <bottom style="thick"/>
    </border>
    <border>
      <left style="medium"/>
      <right style="thin"/>
      <top style="thick"/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medium"/>
    </border>
    <border>
      <left style="thick"/>
      <right style="medium"/>
      <top style="thin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59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" fontId="0" fillId="0" borderId="16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4" fontId="0" fillId="0" borderId="14" xfId="0" applyNumberFormat="1" applyBorder="1" applyAlignment="1">
      <alignment horizontal="center" vertical="center"/>
    </xf>
    <xf numFmtId="4" fontId="0" fillId="0" borderId="17" xfId="0" applyNumberForma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3" fontId="8" fillId="0" borderId="0" xfId="0" applyNumberFormat="1" applyFont="1" applyAlignment="1">
      <alignment horizontal="center" vertical="center"/>
    </xf>
    <xf numFmtId="0" fontId="0" fillId="0" borderId="0" xfId="0" applyFont="1" applyAlignment="1">
      <alignment/>
    </xf>
    <xf numFmtId="3" fontId="7" fillId="0" borderId="0" xfId="0" applyNumberFormat="1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0" fillId="0" borderId="1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12" fillId="0" borderId="0" xfId="0" applyFont="1" applyAlignment="1">
      <alignment horizontal="center" vertical="center"/>
    </xf>
    <xf numFmtId="3" fontId="1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3" fontId="0" fillId="0" borderId="27" xfId="0" applyNumberForma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3" fontId="0" fillId="0" borderId="0" xfId="0" applyNumberFormat="1" applyFill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4" fontId="0" fillId="0" borderId="0" xfId="0" applyNumberForma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3" fontId="0" fillId="0" borderId="51" xfId="0" applyNumberForma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3" fontId="0" fillId="0" borderId="56" xfId="0" applyNumberFormat="1" applyBorder="1" applyAlignment="1">
      <alignment horizontal="center" vertical="center"/>
    </xf>
    <xf numFmtId="3" fontId="0" fillId="0" borderId="26" xfId="0" applyNumberFormat="1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4" fontId="0" fillId="0" borderId="27" xfId="0" applyNumberFormat="1" applyBorder="1" applyAlignment="1">
      <alignment horizontal="center" vertical="center"/>
    </xf>
    <xf numFmtId="4" fontId="0" fillId="0" borderId="56" xfId="0" applyNumberForma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0" fillId="0" borderId="69" xfId="0" applyBorder="1" applyAlignment="1">
      <alignment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0" fontId="10" fillId="0" borderId="74" xfId="0" applyFont="1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182" fontId="0" fillId="0" borderId="34" xfId="0" applyNumberFormat="1" applyBorder="1" applyAlignment="1">
      <alignment vertical="center"/>
    </xf>
    <xf numFmtId="182" fontId="0" fillId="0" borderId="0" xfId="0" applyNumberFormat="1" applyBorder="1" applyAlignment="1">
      <alignment vertical="center"/>
    </xf>
    <xf numFmtId="3" fontId="0" fillId="0" borderId="77" xfId="0" applyNumberFormat="1" applyBorder="1" applyAlignment="1">
      <alignment horizontal="center" vertical="center"/>
    </xf>
    <xf numFmtId="3" fontId="0" fillId="0" borderId="35" xfId="0" applyNumberFormat="1" applyBorder="1" applyAlignment="1">
      <alignment horizontal="center" vertical="center"/>
    </xf>
    <xf numFmtId="3" fontId="10" fillId="0" borderId="0" xfId="0" applyNumberFormat="1" applyFont="1" applyBorder="1" applyAlignment="1">
      <alignment horizontal="center" vertical="center"/>
    </xf>
    <xf numFmtId="3" fontId="10" fillId="0" borderId="35" xfId="0" applyNumberFormat="1" applyFont="1" applyBorder="1" applyAlignment="1">
      <alignment horizontal="center" vertical="center"/>
    </xf>
    <xf numFmtId="3" fontId="0" fillId="0" borderId="78" xfId="0" applyNumberFormat="1" applyFill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3" fontId="2" fillId="0" borderId="3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183" fontId="0" fillId="0" borderId="38" xfId="0" applyNumberFormat="1" applyFill="1" applyBorder="1" applyAlignment="1">
      <alignment horizontal="center" vertical="center"/>
    </xf>
    <xf numFmtId="183" fontId="0" fillId="0" borderId="21" xfId="0" applyNumberFormat="1" applyBorder="1" applyAlignment="1">
      <alignment horizontal="center" vertical="center"/>
    </xf>
    <xf numFmtId="183" fontId="2" fillId="0" borderId="18" xfId="0" applyNumberFormat="1" applyFont="1" applyBorder="1" applyAlignment="1">
      <alignment horizontal="center" vertical="center"/>
    </xf>
    <xf numFmtId="183" fontId="2" fillId="0" borderId="15" xfId="0" applyNumberFormat="1" applyFont="1" applyBorder="1" applyAlignment="1">
      <alignment horizontal="center" vertical="center"/>
    </xf>
    <xf numFmtId="183" fontId="0" fillId="0" borderId="15" xfId="0" applyNumberFormat="1" applyBorder="1" applyAlignment="1">
      <alignment horizontal="center" vertical="center"/>
    </xf>
    <xf numFmtId="183" fontId="0" fillId="0" borderId="18" xfId="0" applyNumberFormat="1" applyBorder="1" applyAlignment="1">
      <alignment horizontal="center" vertical="center"/>
    </xf>
    <xf numFmtId="183" fontId="0" fillId="0" borderId="79" xfId="0" applyNumberFormat="1" applyBorder="1" applyAlignment="1">
      <alignment horizontal="center" vertical="center"/>
    </xf>
    <xf numFmtId="183" fontId="0" fillId="0" borderId="80" xfId="0" applyNumberFormat="1" applyBorder="1" applyAlignment="1">
      <alignment horizontal="center" vertical="center"/>
    </xf>
    <xf numFmtId="183" fontId="0" fillId="0" borderId="19" xfId="0" applyNumberFormat="1" applyBorder="1" applyAlignment="1">
      <alignment horizontal="center" vertical="center"/>
    </xf>
    <xf numFmtId="3" fontId="2" fillId="0" borderId="45" xfId="0" applyNumberFormat="1" applyFont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0" fontId="10" fillId="0" borderId="58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0" fontId="10" fillId="0" borderId="59" xfId="0" applyFont="1" applyBorder="1" applyAlignment="1">
      <alignment horizontal="center" vertical="center"/>
    </xf>
    <xf numFmtId="3" fontId="0" fillId="0" borderId="35" xfId="0" applyNumberFormat="1" applyFont="1" applyBorder="1" applyAlignment="1">
      <alignment horizontal="center" vertical="center"/>
    </xf>
    <xf numFmtId="4" fontId="0" fillId="0" borderId="17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184" fontId="0" fillId="0" borderId="81" xfId="0" applyNumberFormat="1" applyBorder="1" applyAlignment="1">
      <alignment horizontal="center" vertical="center"/>
    </xf>
    <xf numFmtId="4" fontId="0" fillId="0" borderId="16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4" fontId="0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3" fontId="0" fillId="0" borderId="45" xfId="0" applyNumberFormat="1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4" fontId="0" fillId="0" borderId="16" xfId="0" applyNumberFormat="1" applyFill="1" applyBorder="1" applyAlignment="1">
      <alignment horizontal="center" vertical="center"/>
    </xf>
    <xf numFmtId="4" fontId="0" fillId="0" borderId="17" xfId="0" applyNumberFormat="1" applyFill="1" applyBorder="1" applyAlignment="1">
      <alignment horizontal="center" vertical="center"/>
    </xf>
    <xf numFmtId="3" fontId="10" fillId="0" borderId="16" xfId="0" applyNumberFormat="1" applyFont="1" applyBorder="1" applyAlignment="1">
      <alignment horizontal="center" vertical="center"/>
    </xf>
    <xf numFmtId="3" fontId="0" fillId="0" borderId="16" xfId="0" applyNumberFormat="1" applyFont="1" applyBorder="1" applyAlignment="1">
      <alignment horizontal="center" vertical="center"/>
    </xf>
    <xf numFmtId="183" fontId="0" fillId="0" borderId="26" xfId="0" applyNumberFormat="1" applyBorder="1" applyAlignment="1">
      <alignment horizontal="center" vertical="center"/>
    </xf>
    <xf numFmtId="183" fontId="0" fillId="0" borderId="27" xfId="0" applyNumberForma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180" fontId="0" fillId="0" borderId="40" xfId="0" applyNumberFormat="1" applyBorder="1" applyAlignment="1">
      <alignment horizontal="center" vertical="center"/>
    </xf>
    <xf numFmtId="4" fontId="0" fillId="20" borderId="20" xfId="0" applyNumberFormat="1" applyFill="1" applyBorder="1" applyAlignment="1">
      <alignment horizontal="center" vertical="center"/>
    </xf>
    <xf numFmtId="4" fontId="0" fillId="20" borderId="21" xfId="0" applyNumberFormat="1" applyFill="1" applyBorder="1" applyAlignment="1">
      <alignment horizontal="center" vertical="center"/>
    </xf>
    <xf numFmtId="4" fontId="0" fillId="20" borderId="14" xfId="0" applyNumberFormat="1" applyFill="1" applyBorder="1" applyAlignment="1">
      <alignment horizontal="center" vertical="center"/>
    </xf>
    <xf numFmtId="4" fontId="0" fillId="20" borderId="15" xfId="0" applyNumberFormat="1" applyFill="1" applyBorder="1" applyAlignment="1">
      <alignment horizontal="center" vertical="center"/>
    </xf>
    <xf numFmtId="4" fontId="0" fillId="20" borderId="16" xfId="0" applyNumberFormat="1" applyFill="1" applyBorder="1" applyAlignment="1">
      <alignment horizontal="center" vertical="center"/>
    </xf>
    <xf numFmtId="4" fontId="0" fillId="20" borderId="19" xfId="0" applyNumberFormat="1" applyFill="1" applyBorder="1" applyAlignment="1">
      <alignment horizontal="center" vertical="center"/>
    </xf>
    <xf numFmtId="4" fontId="0" fillId="20" borderId="17" xfId="0" applyNumberFormat="1" applyFill="1" applyBorder="1" applyAlignment="1">
      <alignment horizontal="center" vertical="center"/>
    </xf>
    <xf numFmtId="4" fontId="0" fillId="20" borderId="18" xfId="0" applyNumberFormat="1" applyFill="1" applyBorder="1" applyAlignment="1">
      <alignment horizontal="center" vertical="center"/>
    </xf>
    <xf numFmtId="0" fontId="0" fillId="20" borderId="16" xfId="0" applyFill="1" applyBorder="1" applyAlignment="1">
      <alignment horizontal="center" vertical="center"/>
    </xf>
    <xf numFmtId="0" fontId="0" fillId="20" borderId="19" xfId="0" applyFill="1" applyBorder="1" applyAlignment="1">
      <alignment horizontal="center" vertical="center"/>
    </xf>
    <xf numFmtId="0" fontId="0" fillId="20" borderId="17" xfId="0" applyFill="1" applyBorder="1" applyAlignment="1">
      <alignment horizontal="center" vertical="center"/>
    </xf>
    <xf numFmtId="0" fontId="0" fillId="20" borderId="18" xfId="0" applyFill="1" applyBorder="1" applyAlignment="1">
      <alignment horizontal="center" vertical="center"/>
    </xf>
    <xf numFmtId="0" fontId="0" fillId="20" borderId="12" xfId="0" applyFill="1" applyBorder="1" applyAlignment="1">
      <alignment horizontal="center" vertical="center"/>
    </xf>
    <xf numFmtId="0" fontId="0" fillId="20" borderId="13" xfId="0" applyFill="1" applyBorder="1" applyAlignment="1">
      <alignment horizontal="center" vertical="center"/>
    </xf>
    <xf numFmtId="4" fontId="0" fillId="20" borderId="36" xfId="0" applyNumberFormat="1" applyFill="1" applyBorder="1" applyAlignment="1">
      <alignment horizontal="center" vertical="center"/>
    </xf>
    <xf numFmtId="4" fontId="0" fillId="20" borderId="46" xfId="0" applyNumberFormat="1" applyFill="1" applyBorder="1" applyAlignment="1">
      <alignment horizontal="center" vertical="center"/>
    </xf>
    <xf numFmtId="4" fontId="0" fillId="20" borderId="30" xfId="0" applyNumberFormat="1" applyFill="1" applyBorder="1" applyAlignment="1">
      <alignment horizontal="center" vertical="center"/>
    </xf>
    <xf numFmtId="4" fontId="0" fillId="20" borderId="39" xfId="0" applyNumberFormat="1" applyFill="1" applyBorder="1" applyAlignment="1">
      <alignment horizontal="center" vertical="center"/>
    </xf>
    <xf numFmtId="4" fontId="0" fillId="20" borderId="29" xfId="0" applyNumberFormat="1" applyFill="1" applyBorder="1" applyAlignment="1">
      <alignment horizontal="center" vertical="center"/>
    </xf>
    <xf numFmtId="4" fontId="0" fillId="20" borderId="47" xfId="0" applyNumberFormat="1" applyFill="1" applyBorder="1" applyAlignment="1">
      <alignment horizontal="center" vertical="center"/>
    </xf>
    <xf numFmtId="4" fontId="0" fillId="20" borderId="83" xfId="0" applyNumberFormat="1" applyFill="1" applyBorder="1" applyAlignment="1">
      <alignment horizontal="center" vertical="center"/>
    </xf>
    <xf numFmtId="4" fontId="0" fillId="20" borderId="22" xfId="0" applyNumberFormat="1" applyFill="1" applyBorder="1" applyAlignment="1">
      <alignment horizontal="center" vertical="center"/>
    </xf>
    <xf numFmtId="4" fontId="0" fillId="20" borderId="54" xfId="0" applyNumberFormat="1" applyFill="1" applyBorder="1" applyAlignment="1">
      <alignment horizontal="center" vertical="center"/>
    </xf>
    <xf numFmtId="4" fontId="0" fillId="20" borderId="23" xfId="0" applyNumberFormat="1" applyFill="1" applyBorder="1" applyAlignment="1">
      <alignment horizontal="center" vertical="center"/>
    </xf>
    <xf numFmtId="4" fontId="0" fillId="20" borderId="82" xfId="0" applyNumberFormat="1" applyFill="1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183" fontId="0" fillId="0" borderId="39" xfId="0" applyNumberFormat="1" applyFill="1" applyBorder="1" applyAlignment="1">
      <alignment horizontal="center" vertical="center"/>
    </xf>
    <xf numFmtId="3" fontId="0" fillId="0" borderId="22" xfId="0" applyNumberFormat="1" applyBorder="1" applyAlignment="1">
      <alignment horizontal="center" vertical="center"/>
    </xf>
    <xf numFmtId="3" fontId="0" fillId="0" borderId="23" xfId="0" applyNumberFormat="1" applyBorder="1" applyAlignment="1">
      <alignment horizontal="center" vertical="center"/>
    </xf>
    <xf numFmtId="3" fontId="0" fillId="0" borderId="82" xfId="0" applyNumberFormat="1" applyBorder="1" applyAlignment="1">
      <alignment horizontal="center" vertical="center"/>
    </xf>
    <xf numFmtId="0" fontId="10" fillId="0" borderId="84" xfId="0" applyFont="1" applyBorder="1" applyAlignment="1">
      <alignment horizontal="center" vertical="center"/>
    </xf>
    <xf numFmtId="0" fontId="10" fillId="0" borderId="85" xfId="0" applyFont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4" fontId="0" fillId="0" borderId="29" xfId="0" applyNumberFormat="1" applyBorder="1" applyAlignment="1">
      <alignment horizontal="center" vertical="center"/>
    </xf>
    <xf numFmtId="4" fontId="0" fillId="0" borderId="40" xfId="0" applyNumberFormat="1" applyBorder="1" applyAlignment="1">
      <alignment horizontal="center" vertical="center"/>
    </xf>
    <xf numFmtId="3" fontId="0" fillId="0" borderId="86" xfId="0" applyNumberFormat="1" applyBorder="1" applyAlignment="1">
      <alignment horizontal="center" vertical="center"/>
    </xf>
    <xf numFmtId="3" fontId="0" fillId="0" borderId="87" xfId="0" applyNumberForma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6" fillId="0" borderId="36" xfId="0" applyFont="1" applyBorder="1" applyAlignment="1">
      <alignment horizontal="center" vertical="center"/>
    </xf>
    <xf numFmtId="0" fontId="16" fillId="0" borderId="53" xfId="0" applyFont="1" applyBorder="1" applyAlignment="1">
      <alignment horizontal="center" vertical="center"/>
    </xf>
    <xf numFmtId="0" fontId="16" fillId="0" borderId="54" xfId="0" applyFont="1" applyBorder="1" applyAlignment="1">
      <alignment horizontal="center" vertical="center"/>
    </xf>
    <xf numFmtId="0" fontId="16" fillId="0" borderId="55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80" fontId="0" fillId="0" borderId="14" xfId="0" applyNumberFormat="1" applyFont="1" applyBorder="1" applyAlignment="1">
      <alignment horizontal="center" vertical="center"/>
    </xf>
    <xf numFmtId="0" fontId="0" fillId="0" borderId="84" xfId="0" applyFont="1" applyBorder="1" applyAlignment="1">
      <alignment horizontal="center" vertical="center"/>
    </xf>
    <xf numFmtId="185" fontId="10" fillId="0" borderId="18" xfId="0" applyNumberFormat="1" applyFont="1" applyBorder="1" applyAlignment="1">
      <alignment horizontal="center" vertical="center"/>
    </xf>
    <xf numFmtId="185" fontId="10" fillId="0" borderId="15" xfId="0" applyNumberFormat="1" applyFont="1" applyBorder="1" applyAlignment="1">
      <alignment horizontal="center" vertical="center"/>
    </xf>
    <xf numFmtId="2" fontId="10" fillId="0" borderId="19" xfId="0" applyNumberFormat="1" applyFont="1" applyBorder="1" applyAlignment="1">
      <alignment horizontal="center" vertical="center"/>
    </xf>
    <xf numFmtId="3" fontId="10" fillId="0" borderId="47" xfId="0" applyNumberFormat="1" applyFont="1" applyBorder="1" applyAlignment="1">
      <alignment horizontal="center" vertical="center"/>
    </xf>
    <xf numFmtId="3" fontId="2" fillId="0" borderId="26" xfId="0" applyNumberFormat="1" applyFont="1" applyBorder="1" applyAlignment="1">
      <alignment horizontal="center" vertical="center"/>
    </xf>
    <xf numFmtId="3" fontId="0" fillId="0" borderId="53" xfId="0" applyNumberFormat="1" applyBorder="1" applyAlignment="1">
      <alignment horizontal="center" vertical="center"/>
    </xf>
    <xf numFmtId="3" fontId="0" fillId="0" borderId="60" xfId="0" applyNumberFormat="1" applyBorder="1" applyAlignment="1">
      <alignment horizontal="center" vertical="center"/>
    </xf>
    <xf numFmtId="4" fontId="0" fillId="0" borderId="55" xfId="0" applyNumberFormat="1" applyBorder="1" applyAlignment="1">
      <alignment horizontal="center" vertical="center"/>
    </xf>
    <xf numFmtId="183" fontId="0" fillId="0" borderId="22" xfId="0" applyNumberFormat="1" applyBorder="1" applyAlignment="1">
      <alignment horizontal="center" vertical="center"/>
    </xf>
    <xf numFmtId="183" fontId="0" fillId="0" borderId="82" xfId="0" applyNumberFormat="1" applyBorder="1" applyAlignment="1">
      <alignment horizontal="center" vertical="center"/>
    </xf>
    <xf numFmtId="0" fontId="0" fillId="20" borderId="10" xfId="0" applyFill="1" applyBorder="1" applyAlignment="1">
      <alignment horizontal="center" vertical="center"/>
    </xf>
    <xf numFmtId="0" fontId="0" fillId="20" borderId="11" xfId="0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88" xfId="0" applyFont="1" applyFill="1" applyBorder="1" applyAlignment="1">
      <alignment horizontal="center" vertical="center"/>
    </xf>
    <xf numFmtId="3" fontId="0" fillId="0" borderId="61" xfId="0" applyNumberFormat="1" applyFont="1" applyFill="1" applyBorder="1" applyAlignment="1">
      <alignment horizontal="center"/>
    </xf>
    <xf numFmtId="0" fontId="0" fillId="0" borderId="61" xfId="0" applyFont="1" applyFill="1" applyBorder="1" applyAlignment="1">
      <alignment horizontal="center"/>
    </xf>
    <xf numFmtId="0" fontId="0" fillId="0" borderId="89" xfId="0" applyFont="1" applyFill="1" applyBorder="1" applyAlignment="1">
      <alignment horizontal="center"/>
    </xf>
    <xf numFmtId="3" fontId="0" fillId="0" borderId="40" xfId="0" applyNumberFormat="1" applyBorder="1" applyAlignment="1">
      <alignment horizontal="center" vertical="center"/>
    </xf>
    <xf numFmtId="3" fontId="0" fillId="0" borderId="14" xfId="0" applyNumberFormat="1" applyFont="1" applyBorder="1" applyAlignment="1">
      <alignment horizontal="center" vertical="center"/>
    </xf>
    <xf numFmtId="4" fontId="0" fillId="0" borderId="36" xfId="0" applyNumberFormat="1" applyBorder="1" applyAlignment="1">
      <alignment horizontal="center" vertical="center"/>
    </xf>
    <xf numFmtId="3" fontId="0" fillId="0" borderId="16" xfId="0" applyNumberFormat="1" applyBorder="1" applyAlignment="1">
      <alignment horizontal="center" vertical="center"/>
    </xf>
    <xf numFmtId="3" fontId="0" fillId="0" borderId="16" xfId="0" applyNumberFormat="1" applyFill="1" applyBorder="1" applyAlignment="1">
      <alignment horizontal="center" vertical="center"/>
    </xf>
    <xf numFmtId="0" fontId="0" fillId="20" borderId="51" xfId="0" applyFill="1" applyBorder="1" applyAlignment="1">
      <alignment horizontal="center" vertical="center"/>
    </xf>
    <xf numFmtId="4" fontId="0" fillId="20" borderId="90" xfId="0" applyNumberFormat="1" applyFill="1" applyBorder="1" applyAlignment="1">
      <alignment horizontal="center" vertical="center"/>
    </xf>
    <xf numFmtId="4" fontId="0" fillId="20" borderId="91" xfId="0" applyNumberFormat="1" applyFill="1" applyBorder="1" applyAlignment="1">
      <alignment horizontal="center" vertical="center"/>
    </xf>
    <xf numFmtId="4" fontId="0" fillId="20" borderId="12" xfId="0" applyNumberFormat="1" applyFill="1" applyBorder="1" applyAlignment="1">
      <alignment horizontal="center" vertical="center"/>
    </xf>
    <xf numFmtId="4" fontId="0" fillId="20" borderId="13" xfId="0" applyNumberFormat="1" applyFill="1" applyBorder="1" applyAlignment="1">
      <alignment horizontal="center" vertical="center"/>
    </xf>
    <xf numFmtId="0" fontId="0" fillId="20" borderId="44" xfId="0" applyFill="1" applyBorder="1" applyAlignment="1">
      <alignment horizontal="center" vertical="center"/>
    </xf>
    <xf numFmtId="0" fontId="0" fillId="20" borderId="25" xfId="0" applyFill="1" applyBorder="1" applyAlignment="1">
      <alignment horizontal="center" vertical="center"/>
    </xf>
    <xf numFmtId="4" fontId="0" fillId="20" borderId="92" xfId="0" applyNumberFormat="1" applyFill="1" applyBorder="1" applyAlignment="1">
      <alignment horizontal="center" vertical="center"/>
    </xf>
    <xf numFmtId="4" fontId="0" fillId="20" borderId="89" xfId="0" applyNumberFormat="1" applyFill="1" applyBorder="1" applyAlignment="1">
      <alignment horizontal="center" vertical="center"/>
    </xf>
    <xf numFmtId="4" fontId="0" fillId="20" borderId="93" xfId="0" applyNumberFormat="1" applyFill="1" applyBorder="1" applyAlignment="1">
      <alignment horizontal="center" vertical="center"/>
    </xf>
    <xf numFmtId="3" fontId="10" fillId="0" borderId="45" xfId="0" applyNumberFormat="1" applyFont="1" applyBorder="1" applyAlignment="1">
      <alignment horizontal="center" vertical="center"/>
    </xf>
    <xf numFmtId="0" fontId="0" fillId="20" borderId="24" xfId="0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94" xfId="0" applyFont="1" applyBorder="1" applyAlignment="1">
      <alignment horizontal="center" vertical="center"/>
    </xf>
    <xf numFmtId="0" fontId="2" fillId="0" borderId="9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180" fontId="0" fillId="0" borderId="32" xfId="0" applyNumberFormat="1" applyFont="1" applyBorder="1" applyAlignment="1">
      <alignment horizontal="center" vertical="center"/>
    </xf>
    <xf numFmtId="180" fontId="0" fillId="0" borderId="52" xfId="0" applyNumberFormat="1" applyFont="1" applyBorder="1" applyAlignment="1">
      <alignment horizontal="center" vertical="center"/>
    </xf>
    <xf numFmtId="0" fontId="2" fillId="0" borderId="9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" fontId="0" fillId="0" borderId="17" xfId="0" applyNumberFormat="1" applyFont="1" applyBorder="1" applyAlignment="1">
      <alignment horizontal="center" vertical="center"/>
    </xf>
    <xf numFmtId="4" fontId="0" fillId="0" borderId="14" xfId="0" applyNumberFormat="1" applyFont="1" applyBorder="1" applyAlignment="1">
      <alignment horizontal="center" vertical="center"/>
    </xf>
    <xf numFmtId="0" fontId="0" fillId="0" borderId="96" xfId="0" applyFont="1" applyBorder="1" applyAlignment="1">
      <alignment horizontal="center" vertical="center"/>
    </xf>
    <xf numFmtId="0" fontId="0" fillId="0" borderId="80" xfId="0" applyFont="1" applyBorder="1" applyAlignment="1">
      <alignment horizontal="center" vertical="center"/>
    </xf>
    <xf numFmtId="0" fontId="10" fillId="0" borderId="97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98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99" xfId="0" applyFont="1" applyBorder="1" applyAlignment="1">
      <alignment horizontal="center" vertical="center"/>
    </xf>
    <xf numFmtId="4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9" fillId="0" borderId="100" xfId="0" applyFont="1" applyBorder="1" applyAlignment="1">
      <alignment horizontal="center" vertical="center"/>
    </xf>
    <xf numFmtId="0" fontId="9" fillId="0" borderId="9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0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0" fillId="0" borderId="102" xfId="0" applyFont="1" applyBorder="1" applyAlignment="1">
      <alignment horizontal="center" vertical="center"/>
    </xf>
    <xf numFmtId="0" fontId="10" fillId="0" borderId="95" xfId="0" applyFont="1" applyBorder="1" applyAlignment="1">
      <alignment horizontal="center" vertical="center"/>
    </xf>
    <xf numFmtId="0" fontId="10" fillId="0" borderId="103" xfId="0" applyFont="1" applyBorder="1" applyAlignment="1">
      <alignment horizontal="center" vertical="center"/>
    </xf>
    <xf numFmtId="0" fontId="10" fillId="0" borderId="104" xfId="0" applyFont="1" applyBorder="1" applyAlignment="1">
      <alignment horizontal="center" vertical="center"/>
    </xf>
    <xf numFmtId="0" fontId="10" fillId="0" borderId="105" xfId="0" applyFont="1" applyBorder="1" applyAlignment="1">
      <alignment horizontal="center" vertical="center"/>
    </xf>
    <xf numFmtId="3" fontId="10" fillId="0" borderId="17" xfId="0" applyNumberFormat="1" applyFont="1" applyBorder="1" applyAlignment="1">
      <alignment horizontal="center" vertical="center"/>
    </xf>
    <xf numFmtId="3" fontId="10" fillId="0" borderId="14" xfId="0" applyNumberFormat="1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10" fillId="0" borderId="106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107" xfId="0" applyFont="1" applyBorder="1" applyAlignment="1">
      <alignment horizontal="center" vertical="center"/>
    </xf>
    <xf numFmtId="0" fontId="10" fillId="0" borderId="108" xfId="0" applyFont="1" applyBorder="1" applyAlignment="1">
      <alignment horizontal="center" vertical="center"/>
    </xf>
    <xf numFmtId="0" fontId="10" fillId="0" borderId="109" xfId="0" applyFont="1" applyBorder="1" applyAlignment="1">
      <alignment horizontal="center" vertical="center"/>
    </xf>
    <xf numFmtId="0" fontId="10" fillId="0" borderId="90" xfId="0" applyFont="1" applyBorder="1" applyAlignment="1">
      <alignment horizontal="center" vertical="center"/>
    </xf>
    <xf numFmtId="0" fontId="10" fillId="0" borderId="91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4" fontId="10" fillId="0" borderId="20" xfId="0" applyNumberFormat="1" applyFont="1" applyBorder="1" applyAlignment="1">
      <alignment horizontal="center" vertical="center"/>
    </xf>
    <xf numFmtId="4" fontId="10" fillId="0" borderId="14" xfId="0" applyNumberFormat="1" applyFont="1" applyBorder="1" applyAlignment="1">
      <alignment horizontal="center" vertical="center"/>
    </xf>
    <xf numFmtId="0" fontId="9" fillId="0" borderId="90" xfId="0" applyFont="1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3" fillId="0" borderId="104" xfId="0" applyFont="1" applyBorder="1" applyAlignment="1">
      <alignment horizontal="center" vertical="center"/>
    </xf>
    <xf numFmtId="0" fontId="3" fillId="0" borderId="97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110" xfId="0" applyBorder="1" applyAlignment="1">
      <alignment horizontal="center" vertical="center"/>
    </xf>
    <xf numFmtId="0" fontId="3" fillId="0" borderId="105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0" fillId="0" borderId="90" xfId="0" applyFont="1" applyBorder="1" applyAlignment="1">
      <alignment horizontal="center" vertical="center"/>
    </xf>
    <xf numFmtId="0" fontId="10" fillId="0" borderId="91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4" fillId="0" borderId="102" xfId="0" applyFont="1" applyBorder="1" applyAlignment="1">
      <alignment horizontal="center" vertical="center"/>
    </xf>
    <xf numFmtId="0" fontId="4" fillId="0" borderId="95" xfId="0" applyFont="1" applyBorder="1" applyAlignment="1">
      <alignment horizontal="center" vertical="center"/>
    </xf>
    <xf numFmtId="0" fontId="4" fillId="0" borderId="103" xfId="0" applyFont="1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09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5" fillId="0" borderId="90" xfId="0" applyFont="1" applyBorder="1" applyAlignment="1">
      <alignment horizontal="center" vertical="center"/>
    </xf>
    <xf numFmtId="0" fontId="5" fillId="0" borderId="100" xfId="0" applyFont="1" applyBorder="1" applyAlignment="1">
      <alignment horizontal="center" vertical="center"/>
    </xf>
    <xf numFmtId="0" fontId="5" fillId="0" borderId="9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0" borderId="111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2" fontId="10" fillId="0" borderId="57" xfId="0" applyNumberFormat="1" applyFont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07" xfId="0" applyFont="1" applyBorder="1" applyAlignment="1">
      <alignment horizontal="center" vertical="center"/>
    </xf>
    <xf numFmtId="0" fontId="0" fillId="0" borderId="108" xfId="0" applyBorder="1" applyAlignment="1">
      <alignment horizontal="center" vertical="center"/>
    </xf>
    <xf numFmtId="0" fontId="0" fillId="0" borderId="112" xfId="0" applyBorder="1" applyAlignment="1">
      <alignment horizontal="center" vertical="center"/>
    </xf>
    <xf numFmtId="0" fontId="3" fillId="0" borderId="106" xfId="0" applyFont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2" fillId="0" borderId="52" xfId="0" applyFont="1" applyBorder="1" applyAlignment="1">
      <alignment horizontal="center" vertical="center"/>
    </xf>
    <xf numFmtId="0" fontId="2" fillId="0" borderId="9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3" fontId="10" fillId="0" borderId="25" xfId="0" applyNumberFormat="1" applyFont="1" applyBorder="1" applyAlignment="1">
      <alignment horizontal="center" vertical="center"/>
    </xf>
    <xf numFmtId="0" fontId="2" fillId="0" borderId="90" xfId="0" applyFont="1" applyBorder="1" applyAlignment="1">
      <alignment horizontal="center" vertical="center"/>
    </xf>
    <xf numFmtId="0" fontId="2" fillId="0" borderId="91" xfId="0" applyFont="1" applyBorder="1" applyAlignment="1">
      <alignment horizontal="center" vertical="center"/>
    </xf>
    <xf numFmtId="4" fontId="0" fillId="0" borderId="32" xfId="0" applyNumberFormat="1" applyFont="1" applyBorder="1" applyAlignment="1">
      <alignment horizontal="center" vertical="center"/>
    </xf>
    <xf numFmtId="4" fontId="0" fillId="0" borderId="52" xfId="0" applyNumberFormat="1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0" borderId="90" xfId="0" applyFont="1" applyBorder="1" applyAlignment="1">
      <alignment horizontal="center" vertical="center"/>
    </xf>
    <xf numFmtId="0" fontId="12" fillId="0" borderId="100" xfId="0" applyFont="1" applyBorder="1" applyAlignment="1">
      <alignment horizontal="center" vertical="center"/>
    </xf>
    <xf numFmtId="0" fontId="12" fillId="0" borderId="91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0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2" fillId="0" borderId="102" xfId="0" applyFont="1" applyBorder="1" applyAlignment="1">
      <alignment horizontal="center" vertical="center"/>
    </xf>
    <xf numFmtId="0" fontId="2" fillId="0" borderId="103" xfId="0" applyFont="1" applyBorder="1" applyAlignment="1">
      <alignment horizontal="center" vertical="center"/>
    </xf>
    <xf numFmtId="0" fontId="2" fillId="0" borderId="104" xfId="0" applyFont="1" applyBorder="1" applyAlignment="1">
      <alignment horizontal="center" vertical="center"/>
    </xf>
    <xf numFmtId="0" fontId="2" fillId="0" borderId="105" xfId="0" applyFont="1" applyBorder="1" applyAlignment="1">
      <alignment horizontal="center" vertical="center"/>
    </xf>
    <xf numFmtId="0" fontId="2" fillId="0" borderId="97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98" xfId="0" applyFont="1" applyBorder="1" applyAlignment="1">
      <alignment horizontal="center" vertical="center"/>
    </xf>
    <xf numFmtId="0" fontId="2" fillId="0" borderId="109" xfId="0" applyFont="1" applyBorder="1" applyAlignment="1">
      <alignment horizontal="center" vertical="center"/>
    </xf>
    <xf numFmtId="4" fontId="0" fillId="0" borderId="16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3" fontId="0" fillId="0" borderId="14" xfId="0" applyNumberFormat="1" applyFont="1" applyBorder="1" applyAlignment="1">
      <alignment horizontal="center" vertical="center"/>
    </xf>
    <xf numFmtId="3" fontId="0" fillId="0" borderId="16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2" fillId="0" borderId="113" xfId="0" applyFont="1" applyBorder="1" applyAlignment="1">
      <alignment horizontal="center" vertical="center"/>
    </xf>
    <xf numFmtId="0" fontId="2" fillId="0" borderId="107" xfId="0" applyFont="1" applyBorder="1" applyAlignment="1">
      <alignment horizontal="center" vertical="center"/>
    </xf>
    <xf numFmtId="0" fontId="2" fillId="0" borderId="108" xfId="0" applyFont="1" applyBorder="1" applyAlignment="1">
      <alignment horizontal="center" vertical="center"/>
    </xf>
    <xf numFmtId="0" fontId="2" fillId="0" borderId="114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0" fillId="0" borderId="20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3" fillId="0" borderId="94" xfId="0" applyFont="1" applyBorder="1" applyAlignment="1">
      <alignment horizontal="center" vertical="center"/>
    </xf>
    <xf numFmtId="0" fontId="3" fillId="0" borderId="95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113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9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7" xfId="0" applyBorder="1" applyAlignment="1">
      <alignment horizontal="center" vertical="center"/>
    </xf>
    <xf numFmtId="0" fontId="3" fillId="0" borderId="114" xfId="0" applyFont="1" applyBorder="1" applyAlignment="1">
      <alignment horizontal="center" vertical="center"/>
    </xf>
    <xf numFmtId="0" fontId="3" fillId="0" borderId="115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" fontId="0" fillId="0" borderId="14" xfId="0" applyNumberFormat="1" applyBorder="1" applyAlignment="1">
      <alignment horizontal="center" vertical="center"/>
    </xf>
    <xf numFmtId="4" fontId="0" fillId="0" borderId="16" xfId="0" applyNumberFormat="1" applyBorder="1" applyAlignment="1">
      <alignment horizontal="center" vertical="center"/>
    </xf>
    <xf numFmtId="184" fontId="0" fillId="0" borderId="39" xfId="0" applyNumberFormat="1" applyBorder="1" applyAlignment="1">
      <alignment horizontal="center" vertical="center"/>
    </xf>
    <xf numFmtId="184" fontId="0" fillId="0" borderId="38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3" fontId="0" fillId="0" borderId="16" xfId="0" applyNumberFormat="1" applyBorder="1" applyAlignment="1">
      <alignment horizontal="center" vertical="center"/>
    </xf>
    <xf numFmtId="0" fontId="0" fillId="0" borderId="108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09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4" fontId="0" fillId="0" borderId="18" xfId="0" applyNumberFormat="1" applyFill="1" applyBorder="1" applyAlignment="1">
      <alignment horizontal="center" vertical="center"/>
    </xf>
    <xf numFmtId="4" fontId="0" fillId="0" borderId="19" xfId="0" applyNumberFormat="1" applyFill="1" applyBorder="1" applyAlignment="1">
      <alignment horizontal="center" vertical="center"/>
    </xf>
    <xf numFmtId="0" fontId="0" fillId="0" borderId="99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4" fontId="0" fillId="0" borderId="18" xfId="0" applyNumberFormat="1" applyBorder="1" applyAlignment="1">
      <alignment horizontal="center" vertical="center"/>
    </xf>
    <xf numFmtId="4" fontId="0" fillId="0" borderId="15" xfId="0" applyNumberFormat="1" applyBorder="1" applyAlignment="1">
      <alignment horizontal="center" vertical="center"/>
    </xf>
    <xf numFmtId="0" fontId="3" fillId="0" borderId="102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0" fillId="0" borderId="17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116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2" fillId="0" borderId="90" xfId="0" applyFont="1" applyBorder="1" applyAlignment="1">
      <alignment horizontal="center" vertical="center"/>
    </xf>
    <xf numFmtId="0" fontId="2" fillId="0" borderId="91" xfId="0" applyFont="1" applyBorder="1" applyAlignment="1">
      <alignment horizontal="center" vertical="center"/>
    </xf>
    <xf numFmtId="0" fontId="3" fillId="0" borderId="103" xfId="0" applyFont="1" applyBorder="1" applyAlignment="1">
      <alignment horizontal="center" vertical="center"/>
    </xf>
    <xf numFmtId="4" fontId="0" fillId="0" borderId="19" xfId="0" applyNumberFormat="1" applyBorder="1" applyAlignment="1">
      <alignment horizontal="center" vertical="center"/>
    </xf>
    <xf numFmtId="0" fontId="0" fillId="20" borderId="17" xfId="0" applyFill="1" applyBorder="1" applyAlignment="1">
      <alignment horizontal="center" vertical="center"/>
    </xf>
    <xf numFmtId="0" fontId="0" fillId="20" borderId="14" xfId="0" applyFill="1" applyBorder="1" applyAlignment="1">
      <alignment horizontal="center" vertical="center"/>
    </xf>
    <xf numFmtId="0" fontId="0" fillId="20" borderId="16" xfId="0" applyFill="1" applyBorder="1" applyAlignment="1">
      <alignment horizontal="center" vertical="center"/>
    </xf>
    <xf numFmtId="0" fontId="0" fillId="20" borderId="18" xfId="0" applyFill="1" applyBorder="1" applyAlignment="1">
      <alignment horizontal="center" vertical="center"/>
    </xf>
    <xf numFmtId="0" fontId="0" fillId="20" borderId="15" xfId="0" applyFill="1" applyBorder="1" applyAlignment="1">
      <alignment horizontal="center" vertical="center"/>
    </xf>
    <xf numFmtId="0" fontId="0" fillId="20" borderId="19" xfId="0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35" fillId="20" borderId="47" xfId="0" applyFont="1" applyFill="1" applyBorder="1" applyAlignment="1">
      <alignment horizontal="center" vertical="center"/>
    </xf>
    <xf numFmtId="0" fontId="35" fillId="20" borderId="39" xfId="0" applyFont="1" applyFill="1" applyBorder="1" applyAlignment="1">
      <alignment horizontal="center" vertical="center"/>
    </xf>
    <xf numFmtId="0" fontId="0" fillId="20" borderId="29" xfId="0" applyFill="1" applyBorder="1" applyAlignment="1">
      <alignment horizontal="center" vertical="center"/>
    </xf>
    <xf numFmtId="0" fontId="0" fillId="20" borderId="30" xfId="0" applyFill="1" applyBorder="1" applyAlignment="1">
      <alignment horizontal="center" vertical="center"/>
    </xf>
    <xf numFmtId="0" fontId="0" fillId="20" borderId="47" xfId="0" applyFill="1" applyBorder="1" applyAlignment="1">
      <alignment horizontal="center" vertical="center"/>
    </xf>
    <xf numFmtId="0" fontId="0" fillId="20" borderId="39" xfId="0" applyFill="1" applyBorder="1" applyAlignment="1">
      <alignment horizontal="center" vertical="center"/>
    </xf>
    <xf numFmtId="0" fontId="35" fillId="20" borderId="22" xfId="0" applyFont="1" applyFill="1" applyBorder="1" applyAlignment="1">
      <alignment horizontal="center" vertical="center"/>
    </xf>
    <xf numFmtId="0" fontId="35" fillId="20" borderId="23" xfId="0" applyFont="1" applyFill="1" applyBorder="1" applyAlignment="1">
      <alignment horizontal="center" vertical="center"/>
    </xf>
    <xf numFmtId="0" fontId="35" fillId="20" borderId="82" xfId="0" applyFont="1" applyFill="1" applyBorder="1" applyAlignment="1">
      <alignment horizontal="center" vertical="center"/>
    </xf>
    <xf numFmtId="4" fontId="0" fillId="0" borderId="60" xfId="0" applyNumberFormat="1" applyBorder="1" applyAlignment="1">
      <alignment horizontal="center" vertical="center"/>
    </xf>
    <xf numFmtId="4" fontId="0" fillId="0" borderId="61" xfId="0" applyNumberForma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3" fontId="0" fillId="0" borderId="29" xfId="0" applyNumberFormat="1" applyBorder="1" applyAlignment="1">
      <alignment horizontal="center" vertical="center"/>
    </xf>
    <xf numFmtId="3" fontId="0" fillId="0" borderId="30" xfId="0" applyNumberForma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2" fontId="0" fillId="0" borderId="68" xfId="0" applyNumberFormat="1" applyBorder="1" applyAlignment="1">
      <alignment horizontal="center" vertical="center"/>
    </xf>
    <xf numFmtId="2" fontId="0" fillId="0" borderId="48" xfId="0" applyNumberFormat="1" applyBorder="1" applyAlignment="1">
      <alignment horizontal="center" vertical="center"/>
    </xf>
    <xf numFmtId="3" fontId="0" fillId="0" borderId="67" xfId="0" applyNumberFormat="1" applyBorder="1" applyAlignment="1">
      <alignment horizontal="center" vertical="center"/>
    </xf>
    <xf numFmtId="3" fontId="0" fillId="0" borderId="75" xfId="0" applyNumberFormat="1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3" fillId="0" borderId="111" xfId="0" applyFont="1" applyBorder="1" applyAlignment="1">
      <alignment horizontal="center" vertical="center"/>
    </xf>
    <xf numFmtId="0" fontId="3" fillId="0" borderId="117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35" fillId="20" borderId="51" xfId="0" applyFont="1" applyFill="1" applyBorder="1" applyAlignment="1">
      <alignment horizontal="center" vertical="center"/>
    </xf>
    <xf numFmtId="4" fontId="35" fillId="20" borderId="39" xfId="0" applyNumberFormat="1" applyFont="1" applyFill="1" applyBorder="1" applyAlignment="1">
      <alignment horizontal="center" vertical="center"/>
    </xf>
    <xf numFmtId="4" fontId="35" fillId="20" borderId="51" xfId="0" applyNumberFormat="1" applyFont="1" applyFill="1" applyBorder="1" applyAlignment="1">
      <alignment horizontal="center" vertical="center"/>
    </xf>
    <xf numFmtId="3" fontId="35" fillId="20" borderId="51" xfId="0" applyNumberFormat="1" applyFont="1" applyFill="1" applyBorder="1" applyAlignment="1">
      <alignment horizontal="center" vertical="center"/>
    </xf>
    <xf numFmtId="4" fontId="35" fillId="20" borderId="83" xfId="0" applyNumberFormat="1" applyFont="1" applyFill="1" applyBorder="1" applyAlignment="1">
      <alignment horizontal="center" vertical="center"/>
    </xf>
    <xf numFmtId="4" fontId="35" fillId="20" borderId="54" xfId="0" applyNumberFormat="1" applyFont="1" applyFill="1" applyBorder="1" applyAlignment="1">
      <alignment horizontal="center" vertical="center"/>
    </xf>
    <xf numFmtId="0" fontId="0" fillId="20" borderId="51" xfId="0" applyFill="1" applyBorder="1" applyAlignment="1">
      <alignment horizontal="center" vertical="center"/>
    </xf>
    <xf numFmtId="3" fontId="35" fillId="20" borderId="75" xfId="0" applyNumberFormat="1" applyFont="1" applyFill="1" applyBorder="1" applyAlignment="1">
      <alignment horizontal="center" vertical="center"/>
    </xf>
    <xf numFmtId="3" fontId="35" fillId="20" borderId="30" xfId="0" applyNumberFormat="1" applyFont="1" applyFill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4" fontId="0" fillId="0" borderId="109" xfId="0" applyNumberFormat="1" applyBorder="1" applyAlignment="1">
      <alignment horizontal="center" vertical="center"/>
    </xf>
    <xf numFmtId="4" fontId="0" fillId="0" borderId="20" xfId="0" applyNumberForma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18" xfId="0" applyFont="1" applyBorder="1" applyAlignment="1">
      <alignment horizontal="center" vertical="center"/>
    </xf>
    <xf numFmtId="0" fontId="3" fillId="0" borderId="119" xfId="0" applyFont="1" applyBorder="1" applyAlignment="1">
      <alignment horizontal="center" vertical="center"/>
    </xf>
    <xf numFmtId="0" fontId="3" fillId="0" borderId="120" xfId="0" applyFont="1" applyBorder="1" applyAlignment="1">
      <alignment horizontal="center" vertical="center"/>
    </xf>
    <xf numFmtId="4" fontId="0" fillId="0" borderId="54" xfId="0" applyNumberFormat="1" applyBorder="1" applyAlignment="1">
      <alignment horizontal="center" vertical="center"/>
    </xf>
    <xf numFmtId="4" fontId="0" fillId="0" borderId="55" xfId="0" applyNumberFormat="1" applyBorder="1" applyAlignment="1">
      <alignment horizontal="center" vertical="center"/>
    </xf>
    <xf numFmtId="4" fontId="0" fillId="0" borderId="53" xfId="0" applyNumberFormat="1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121" xfId="0" applyBorder="1" applyAlignment="1">
      <alignment horizontal="center" vertical="center"/>
    </xf>
    <xf numFmtId="0" fontId="0" fillId="0" borderId="122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3" fillId="0" borderId="123" xfId="0" applyFont="1" applyBorder="1" applyAlignment="1">
      <alignment horizontal="center" vertical="center"/>
    </xf>
    <xf numFmtId="0" fontId="3" fillId="0" borderId="124" xfId="0" applyFont="1" applyBorder="1" applyAlignment="1">
      <alignment horizontal="center" vertical="center"/>
    </xf>
    <xf numFmtId="0" fontId="3" fillId="0" borderId="125" xfId="0" applyFont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3" fillId="0" borderId="126" xfId="0" applyFont="1" applyBorder="1" applyAlignment="1">
      <alignment horizontal="center" vertical="center"/>
    </xf>
    <xf numFmtId="0" fontId="3" fillId="0" borderId="127" xfId="0" applyFont="1" applyBorder="1" applyAlignment="1">
      <alignment horizontal="center" vertical="center"/>
    </xf>
    <xf numFmtId="0" fontId="3" fillId="0" borderId="128" xfId="0" applyFont="1" applyBorder="1" applyAlignment="1">
      <alignment horizontal="center" vertical="center"/>
    </xf>
    <xf numFmtId="0" fontId="0" fillId="0" borderId="106" xfId="0" applyBorder="1" applyAlignment="1">
      <alignment horizontal="center" vertical="center"/>
    </xf>
    <xf numFmtId="0" fontId="0" fillId="20" borderId="20" xfId="0" applyFill="1" applyBorder="1" applyAlignment="1">
      <alignment horizontal="center" vertical="center"/>
    </xf>
    <xf numFmtId="0" fontId="0" fillId="20" borderId="21" xfId="0" applyFill="1" applyBorder="1" applyAlignment="1">
      <alignment horizontal="center" vertical="center"/>
    </xf>
    <xf numFmtId="3" fontId="0" fillId="0" borderId="22" xfId="0" applyNumberFormat="1" applyBorder="1" applyAlignment="1">
      <alignment horizontal="center" vertical="center"/>
    </xf>
    <xf numFmtId="3" fontId="0" fillId="0" borderId="23" xfId="0" applyNumberFormat="1" applyBorder="1" applyAlignment="1">
      <alignment horizontal="center" vertical="center"/>
    </xf>
    <xf numFmtId="3" fontId="0" fillId="0" borderId="82" xfId="0" applyNumberFormat="1" applyBorder="1" applyAlignment="1">
      <alignment horizontal="center" vertical="center"/>
    </xf>
    <xf numFmtId="3" fontId="8" fillId="0" borderId="17" xfId="0" applyNumberFormat="1" applyFont="1" applyBorder="1" applyAlignment="1">
      <alignment horizontal="center" vertical="center"/>
    </xf>
    <xf numFmtId="3" fontId="8" fillId="0" borderId="14" xfId="0" applyNumberFormat="1" applyFont="1" applyBorder="1" applyAlignment="1">
      <alignment horizontal="center" vertical="center"/>
    </xf>
    <xf numFmtId="3" fontId="8" fillId="0" borderId="16" xfId="0" applyNumberFormat="1" applyFont="1" applyBorder="1" applyAlignment="1">
      <alignment horizontal="center" vertical="center"/>
    </xf>
    <xf numFmtId="0" fontId="0" fillId="20" borderId="22" xfId="0" applyFill="1" applyBorder="1" applyAlignment="1">
      <alignment horizontal="center" vertical="center"/>
    </xf>
    <xf numFmtId="0" fontId="0" fillId="20" borderId="23" xfId="0" applyFill="1" applyBorder="1" applyAlignment="1">
      <alignment horizontal="center" vertical="center"/>
    </xf>
    <xf numFmtId="0" fontId="0" fillId="20" borderId="82" xfId="0" applyFill="1" applyBorder="1" applyAlignment="1">
      <alignment horizontal="center" vertical="center"/>
    </xf>
    <xf numFmtId="4" fontId="0" fillId="20" borderId="18" xfId="0" applyNumberFormat="1" applyFill="1" applyBorder="1" applyAlignment="1">
      <alignment horizontal="center" vertical="center"/>
    </xf>
    <xf numFmtId="4" fontId="0" fillId="20" borderId="15" xfId="0" applyNumberFormat="1" applyFill="1" applyBorder="1" applyAlignment="1">
      <alignment horizontal="center" vertical="center"/>
    </xf>
    <xf numFmtId="4" fontId="0" fillId="20" borderId="19" xfId="0" applyNumberForma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zoomScaleSheetLayoutView="50" zoomScalePageLayoutView="0" workbookViewId="0" topLeftCell="A13">
      <selection activeCell="C31" sqref="C31"/>
    </sheetView>
  </sheetViews>
  <sheetFormatPr defaultColWidth="9.140625" defaultRowHeight="30" customHeight="1"/>
  <cols>
    <col min="1" max="1" width="16.57421875" style="1" customWidth="1"/>
    <col min="2" max="2" width="6.140625" style="1" customWidth="1"/>
    <col min="3" max="3" width="7.57421875" style="1" customWidth="1"/>
    <col min="4" max="4" width="8.57421875" style="1" customWidth="1"/>
    <col min="5" max="5" width="12.7109375" style="1" customWidth="1"/>
    <col min="6" max="6" width="6.421875" style="1" customWidth="1"/>
    <col min="7" max="7" width="13.8515625" style="1" customWidth="1"/>
    <col min="8" max="8" width="10.140625" style="1" customWidth="1"/>
    <col min="9" max="9" width="14.421875" style="1" customWidth="1"/>
    <col min="10" max="10" width="8.28125" style="1" customWidth="1"/>
    <col min="11" max="11" width="12.140625" style="1" customWidth="1"/>
    <col min="12" max="12" width="7.57421875" style="1" customWidth="1"/>
    <col min="13" max="13" width="12.421875" style="1" customWidth="1"/>
    <col min="14" max="14" width="7.140625" style="1" customWidth="1"/>
    <col min="15" max="16384" width="9.140625" style="1" customWidth="1"/>
  </cols>
  <sheetData>
    <row r="1" spans="1:11" s="21" customFormat="1" ht="14.25" customHeight="1">
      <c r="A1" s="19" t="s">
        <v>41</v>
      </c>
      <c r="B1" s="17" t="s">
        <v>36</v>
      </c>
      <c r="C1" s="17"/>
      <c r="E1" s="18">
        <v>50964</v>
      </c>
      <c r="F1" s="18"/>
      <c r="G1" s="18"/>
      <c r="H1" s="19" t="s">
        <v>29</v>
      </c>
      <c r="I1" s="19"/>
      <c r="J1" s="19"/>
      <c r="K1" s="26">
        <v>2200</v>
      </c>
    </row>
    <row r="2" spans="1:11" s="21" customFormat="1" ht="14.25" customHeight="1">
      <c r="A2" s="17" t="s">
        <v>1</v>
      </c>
      <c r="B2" s="17" t="s">
        <v>37</v>
      </c>
      <c r="C2" s="17"/>
      <c r="D2" s="18"/>
      <c r="E2" s="18">
        <v>50963</v>
      </c>
      <c r="F2" s="18"/>
      <c r="G2" s="18"/>
      <c r="H2" s="19" t="s">
        <v>2</v>
      </c>
      <c r="I2" s="19"/>
      <c r="J2" s="19"/>
      <c r="K2" s="21">
        <v>15</v>
      </c>
    </row>
    <row r="3" spans="1:11" s="21" customFormat="1" ht="14.25" customHeight="1">
      <c r="A3" s="17" t="s">
        <v>0</v>
      </c>
      <c r="B3" s="17" t="s">
        <v>38</v>
      </c>
      <c r="C3" s="17"/>
      <c r="D3" s="18"/>
      <c r="E3" s="18"/>
      <c r="F3" s="18"/>
      <c r="G3" s="18"/>
      <c r="H3" s="19" t="s">
        <v>3</v>
      </c>
      <c r="I3" s="19"/>
      <c r="J3" s="19"/>
      <c r="K3" s="21">
        <v>27</v>
      </c>
    </row>
    <row r="4" spans="1:11" s="21" customFormat="1" ht="14.25" customHeight="1">
      <c r="A4" s="17" t="s">
        <v>4</v>
      </c>
      <c r="B4" s="17">
        <v>402</v>
      </c>
      <c r="C4" s="17"/>
      <c r="D4" s="18"/>
      <c r="E4" s="18"/>
      <c r="F4" s="18"/>
      <c r="G4" s="18"/>
      <c r="H4" s="19" t="s">
        <v>31</v>
      </c>
      <c r="I4" s="19"/>
      <c r="J4" s="19"/>
      <c r="K4" s="33" t="s">
        <v>62</v>
      </c>
    </row>
    <row r="5" spans="1:13" s="21" customFormat="1" ht="14.25" customHeight="1" thickBot="1">
      <c r="A5" s="18"/>
      <c r="B5" s="18"/>
      <c r="C5" s="18"/>
      <c r="D5" s="18"/>
      <c r="E5" s="18"/>
      <c r="F5" s="18"/>
      <c r="G5" s="18"/>
      <c r="H5" s="18"/>
      <c r="I5" s="18"/>
      <c r="J5" s="18"/>
      <c r="K5" s="35"/>
      <c r="L5" s="35" t="s">
        <v>65</v>
      </c>
      <c r="M5" s="35"/>
    </row>
    <row r="6" spans="1:14" ht="14.25" customHeight="1" thickTop="1">
      <c r="A6" s="376" t="s">
        <v>5</v>
      </c>
      <c r="B6" s="377"/>
      <c r="C6" s="377"/>
      <c r="D6" s="377"/>
      <c r="E6" s="377"/>
      <c r="F6" s="377"/>
      <c r="G6" s="377"/>
      <c r="H6" s="377"/>
      <c r="I6" s="377"/>
      <c r="J6" s="377"/>
      <c r="K6" s="377"/>
      <c r="L6" s="377"/>
      <c r="M6" s="377"/>
      <c r="N6" s="378"/>
    </row>
    <row r="7" spans="1:14" ht="14.25" customHeight="1" thickBot="1">
      <c r="A7" s="379"/>
      <c r="B7" s="380"/>
      <c r="C7" s="380"/>
      <c r="D7" s="380"/>
      <c r="E7" s="380"/>
      <c r="F7" s="380"/>
      <c r="G7" s="380"/>
      <c r="H7" s="380"/>
      <c r="I7" s="380"/>
      <c r="J7" s="380"/>
      <c r="K7" s="380"/>
      <c r="L7" s="380"/>
      <c r="M7" s="380"/>
      <c r="N7" s="381"/>
    </row>
    <row r="8" spans="1:14" ht="14.25" customHeight="1" thickBot="1" thickTop="1">
      <c r="A8" s="369" t="s">
        <v>6</v>
      </c>
      <c r="B8" s="357" t="s">
        <v>7</v>
      </c>
      <c r="C8" s="361"/>
      <c r="D8" s="362"/>
      <c r="E8" s="357" t="s">
        <v>11</v>
      </c>
      <c r="F8" s="358"/>
      <c r="G8" s="382" t="s">
        <v>15</v>
      </c>
      <c r="H8" s="383"/>
      <c r="I8" s="383"/>
      <c r="J8" s="383"/>
      <c r="K8" s="383"/>
      <c r="L8" s="383"/>
      <c r="M8" s="383"/>
      <c r="N8" s="384"/>
    </row>
    <row r="9" spans="1:14" ht="14.25" customHeight="1" thickTop="1">
      <c r="A9" s="370"/>
      <c r="B9" s="399" t="s">
        <v>8</v>
      </c>
      <c r="C9" s="400"/>
      <c r="D9" s="385" t="s">
        <v>9</v>
      </c>
      <c r="E9" s="372" t="s">
        <v>10</v>
      </c>
      <c r="F9" s="373" t="s">
        <v>9</v>
      </c>
      <c r="G9" s="365" t="s">
        <v>27</v>
      </c>
      <c r="H9" s="366"/>
      <c r="I9" s="375" t="s">
        <v>28</v>
      </c>
      <c r="J9" s="356"/>
      <c r="K9" s="375" t="s">
        <v>13</v>
      </c>
      <c r="L9" s="356"/>
      <c r="M9" s="375" t="s">
        <v>14</v>
      </c>
      <c r="N9" s="356"/>
    </row>
    <row r="10" spans="1:14" ht="14.25" customHeight="1" thickBot="1">
      <c r="A10" s="371"/>
      <c r="B10" s="401"/>
      <c r="C10" s="402"/>
      <c r="D10" s="386"/>
      <c r="E10" s="394"/>
      <c r="F10" s="374"/>
      <c r="G10" s="215" t="s">
        <v>114</v>
      </c>
      <c r="H10" s="10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4.25" customHeight="1" thickTop="1">
      <c r="A11" s="359" t="s">
        <v>16</v>
      </c>
      <c r="B11" s="248" t="s">
        <v>94</v>
      </c>
      <c r="C11" s="171">
        <f>3360+683</f>
        <v>4043</v>
      </c>
      <c r="D11" s="243">
        <f>(5.66+2.789+0.437+0.015)*1.075*1.2</f>
        <v>11.482289999999999</v>
      </c>
      <c r="E11" s="372">
        <v>154</v>
      </c>
      <c r="F11" s="360">
        <f>(22.54+6.56+18.6)*1.1</f>
        <v>52.470000000000006</v>
      </c>
      <c r="G11" s="287">
        <v>2044.8</v>
      </c>
      <c r="H11" s="99">
        <v>56.19</v>
      </c>
      <c r="K11" s="6"/>
      <c r="L11" s="7"/>
      <c r="M11" s="6"/>
      <c r="N11" s="7"/>
    </row>
    <row r="12" spans="1:14" ht="14.25" customHeight="1" thickBot="1">
      <c r="A12" s="396"/>
      <c r="B12" s="266" t="s">
        <v>111</v>
      </c>
      <c r="C12" s="77">
        <f>17.25*2</f>
        <v>34.5</v>
      </c>
      <c r="D12" s="176">
        <f>49.291*1.075*1.2</f>
        <v>63.58538999999999</v>
      </c>
      <c r="E12" s="391"/>
      <c r="F12" s="389"/>
      <c r="G12" s="285">
        <v>79426</v>
      </c>
      <c r="H12" s="105">
        <v>6.91</v>
      </c>
      <c r="K12" s="6"/>
      <c r="L12" s="7"/>
      <c r="M12" s="6"/>
      <c r="N12" s="7"/>
    </row>
    <row r="13" spans="1:14" ht="14.25" customHeight="1">
      <c r="A13" s="392" t="s">
        <v>17</v>
      </c>
      <c r="B13" s="160" t="s">
        <v>94</v>
      </c>
      <c r="C13" s="109">
        <f>3240+511</f>
        <v>3751</v>
      </c>
      <c r="D13" s="243">
        <f>(5.66+3.049+0.437+0.015)*1.075*1.2</f>
        <v>11.817689999999999</v>
      </c>
      <c r="E13" s="390">
        <f>211</f>
        <v>211</v>
      </c>
      <c r="F13" s="388">
        <v>52.47</v>
      </c>
      <c r="G13" s="287">
        <v>2044.8</v>
      </c>
      <c r="H13" s="99">
        <v>56.19</v>
      </c>
      <c r="I13" s="66"/>
      <c r="J13" s="10"/>
      <c r="K13" s="9"/>
      <c r="L13" s="10"/>
      <c r="M13" s="9"/>
      <c r="N13" s="10"/>
    </row>
    <row r="14" spans="1:14" ht="14.25" customHeight="1" thickBot="1">
      <c r="A14" s="396"/>
      <c r="B14" s="247" t="s">
        <v>111</v>
      </c>
      <c r="C14" s="77">
        <v>34.5</v>
      </c>
      <c r="D14" s="176">
        <f>49.863*1.075*1.2</f>
        <v>64.32327</v>
      </c>
      <c r="E14" s="391"/>
      <c r="F14" s="389"/>
      <c r="G14" s="216">
        <v>83874</v>
      </c>
      <c r="H14" s="105">
        <v>6.91</v>
      </c>
      <c r="I14" s="211"/>
      <c r="J14" s="13"/>
      <c r="K14" s="12"/>
      <c r="L14" s="13"/>
      <c r="M14" s="12"/>
      <c r="N14" s="13"/>
    </row>
    <row r="15" spans="1:14" ht="14.25" customHeight="1">
      <c r="A15" s="392" t="s">
        <v>18</v>
      </c>
      <c r="B15" s="248" t="s">
        <v>94</v>
      </c>
      <c r="C15" s="109">
        <v>0</v>
      </c>
      <c r="D15" s="243">
        <f>(5.66+3.049+0.437+0.015)*1.075*1.2</f>
        <v>11.817689999999999</v>
      </c>
      <c r="E15" s="390">
        <v>251</v>
      </c>
      <c r="F15" s="388">
        <v>52.47</v>
      </c>
      <c r="G15" s="287">
        <v>2044.8</v>
      </c>
      <c r="H15" s="99">
        <v>56.19</v>
      </c>
      <c r="I15" s="66"/>
      <c r="J15" s="10"/>
      <c r="K15" s="9"/>
      <c r="L15" s="10"/>
      <c r="M15" s="9"/>
      <c r="N15" s="10"/>
    </row>
    <row r="16" spans="1:14" ht="14.25" customHeight="1" thickBot="1">
      <c r="A16" s="396"/>
      <c r="B16" s="247" t="s">
        <v>111</v>
      </c>
      <c r="C16" s="77">
        <v>34.5</v>
      </c>
      <c r="D16" s="176">
        <f>49.863*1.075*1.2</f>
        <v>64.32327</v>
      </c>
      <c r="E16" s="391"/>
      <c r="F16" s="389"/>
      <c r="G16" s="216">
        <v>81163</v>
      </c>
      <c r="H16" s="105">
        <v>6.91</v>
      </c>
      <c r="I16" s="211"/>
      <c r="J16" s="13"/>
      <c r="K16" s="12"/>
      <c r="L16" s="13"/>
      <c r="M16" s="12"/>
      <c r="N16" s="13"/>
    </row>
    <row r="17" spans="1:14" ht="14.25" customHeight="1">
      <c r="A17" s="392" t="s">
        <v>19</v>
      </c>
      <c r="B17" s="248" t="s">
        <v>94</v>
      </c>
      <c r="C17" s="109">
        <f>7440+1119</f>
        <v>8559</v>
      </c>
      <c r="D17" s="243">
        <f>(5.66+3.049+0.437+0.015)*1.075*1.2</f>
        <v>11.817689999999999</v>
      </c>
      <c r="E17" s="390">
        <v>250</v>
      </c>
      <c r="F17" s="388">
        <v>52.47</v>
      </c>
      <c r="G17" s="287">
        <v>2044.8</v>
      </c>
      <c r="H17" s="99">
        <v>56.19</v>
      </c>
      <c r="I17" s="66"/>
      <c r="J17" s="10"/>
      <c r="K17" s="9"/>
      <c r="L17" s="10"/>
      <c r="M17" s="9"/>
      <c r="N17" s="10"/>
    </row>
    <row r="18" spans="1:14" ht="14.25" customHeight="1" thickBot="1">
      <c r="A18" s="396"/>
      <c r="B18" s="247" t="s">
        <v>111</v>
      </c>
      <c r="C18" s="77">
        <v>34.5</v>
      </c>
      <c r="D18" s="176">
        <f>49.863*1.075*1.2</f>
        <v>64.32327</v>
      </c>
      <c r="E18" s="391"/>
      <c r="F18" s="389"/>
      <c r="G18" s="216">
        <v>63372</v>
      </c>
      <c r="H18" s="105">
        <v>6.91</v>
      </c>
      <c r="I18" s="211"/>
      <c r="J18" s="13"/>
      <c r="K18" s="12"/>
      <c r="L18" s="13"/>
      <c r="M18" s="12"/>
      <c r="N18" s="13"/>
    </row>
    <row r="19" spans="1:14" ht="14.25" customHeight="1">
      <c r="A19" s="392" t="s">
        <v>20</v>
      </c>
      <c r="B19" s="248" t="s">
        <v>94</v>
      </c>
      <c r="C19" s="109">
        <f>2960+507</f>
        <v>3467</v>
      </c>
      <c r="D19" s="243">
        <f>(5.66+3.049+0.437+0.015)*1.075*1.2</f>
        <v>11.817689999999999</v>
      </c>
      <c r="E19" s="390">
        <f>234</f>
        <v>234</v>
      </c>
      <c r="F19" s="388">
        <v>52.47</v>
      </c>
      <c r="G19" s="287">
        <v>2044.8</v>
      </c>
      <c r="H19" s="99">
        <v>56.19</v>
      </c>
      <c r="I19" s="66"/>
      <c r="J19" s="10"/>
      <c r="K19" s="9"/>
      <c r="L19" s="10"/>
      <c r="M19" s="9"/>
      <c r="N19" s="10"/>
    </row>
    <row r="20" spans="1:14" ht="14.25" customHeight="1" thickBot="1">
      <c r="A20" s="396"/>
      <c r="B20" s="247" t="s">
        <v>111</v>
      </c>
      <c r="C20" s="77">
        <v>34.5</v>
      </c>
      <c r="D20" s="176">
        <f>49.863*1.075*1.2</f>
        <v>64.32327</v>
      </c>
      <c r="E20" s="391"/>
      <c r="F20" s="389"/>
      <c r="G20" s="216">
        <v>0</v>
      </c>
      <c r="H20" s="105">
        <v>6.91</v>
      </c>
      <c r="I20" s="211"/>
      <c r="J20" s="13"/>
      <c r="K20" s="12"/>
      <c r="L20" s="13"/>
      <c r="M20" s="12"/>
      <c r="N20" s="13"/>
    </row>
    <row r="21" spans="1:14" ht="14.25" customHeight="1">
      <c r="A21" s="392" t="s">
        <v>68</v>
      </c>
      <c r="B21" s="248" t="s">
        <v>94</v>
      </c>
      <c r="C21" s="109">
        <f>3600+929</f>
        <v>4529</v>
      </c>
      <c r="D21" s="243">
        <f>(5.66+3.049+0.437+0.015)*1.075*1.2</f>
        <v>11.817689999999999</v>
      </c>
      <c r="E21" s="390">
        <v>292</v>
      </c>
      <c r="F21" s="388">
        <v>52.47</v>
      </c>
      <c r="G21" s="287">
        <v>2044.8</v>
      </c>
      <c r="H21" s="99">
        <v>56.19</v>
      </c>
      <c r="I21" s="66"/>
      <c r="J21" s="10"/>
      <c r="K21" s="9"/>
      <c r="L21" s="10"/>
      <c r="M21" s="9"/>
      <c r="N21" s="10"/>
    </row>
    <row r="22" spans="1:14" ht="14.25" customHeight="1" thickBot="1">
      <c r="A22" s="396"/>
      <c r="B22" s="247" t="s">
        <v>111</v>
      </c>
      <c r="C22" s="77">
        <v>34.5</v>
      </c>
      <c r="D22" s="176">
        <f>49.863*1.075*1.2</f>
        <v>64.32327</v>
      </c>
      <c r="E22" s="391"/>
      <c r="F22" s="389"/>
      <c r="G22" s="216">
        <v>0</v>
      </c>
      <c r="H22" s="105">
        <v>6.91</v>
      </c>
      <c r="I22" s="211"/>
      <c r="J22" s="13"/>
      <c r="K22" s="12"/>
      <c r="L22" s="13"/>
      <c r="M22" s="12"/>
      <c r="N22" s="13"/>
    </row>
    <row r="23" spans="1:14" ht="14.25" customHeight="1">
      <c r="A23" s="392" t="s">
        <v>69</v>
      </c>
      <c r="B23" s="248" t="s">
        <v>94</v>
      </c>
      <c r="C23" s="109">
        <f>2280+1007</f>
        <v>3287</v>
      </c>
      <c r="D23" s="243">
        <f>(5.66+3.049+0.437+0.015)*1.075*1.2</f>
        <v>11.817689999999999</v>
      </c>
      <c r="E23" s="390">
        <f>312</f>
        <v>312</v>
      </c>
      <c r="F23" s="363">
        <v>52.47</v>
      </c>
      <c r="G23" s="287">
        <v>2044.8</v>
      </c>
      <c r="H23" s="99">
        <v>56.19</v>
      </c>
      <c r="I23" s="9"/>
      <c r="J23" s="10"/>
      <c r="K23" s="9"/>
      <c r="L23" s="10"/>
      <c r="M23" s="9"/>
      <c r="N23" s="10"/>
    </row>
    <row r="24" spans="1:14" ht="14.25" customHeight="1" thickBot="1">
      <c r="A24" s="396"/>
      <c r="B24" s="247" t="s">
        <v>95</v>
      </c>
      <c r="C24" s="77">
        <v>34.5</v>
      </c>
      <c r="D24" s="176">
        <f>49.863*1.075*1.2</f>
        <v>64.32327</v>
      </c>
      <c r="E24" s="391"/>
      <c r="F24" s="364"/>
      <c r="G24" s="216">
        <v>0</v>
      </c>
      <c r="H24" s="105">
        <v>6.91</v>
      </c>
      <c r="I24" s="12"/>
      <c r="J24" s="13"/>
      <c r="K24" s="12"/>
      <c r="L24" s="13"/>
      <c r="M24" s="12"/>
      <c r="N24" s="13"/>
    </row>
    <row r="25" spans="1:14" ht="14.25" customHeight="1">
      <c r="A25" s="392" t="s">
        <v>22</v>
      </c>
      <c r="B25" s="248" t="s">
        <v>94</v>
      </c>
      <c r="C25" s="109">
        <f>2160+755</f>
        <v>2915</v>
      </c>
      <c r="D25" s="243">
        <f>(5.66+3.049+0.437+0.015)*1.075*1.2</f>
        <v>11.817689999999999</v>
      </c>
      <c r="E25" s="390">
        <f>329</f>
        <v>329</v>
      </c>
      <c r="F25" s="388">
        <v>52.47</v>
      </c>
      <c r="G25" s="287">
        <v>2044.8</v>
      </c>
      <c r="H25" s="99">
        <v>56.19</v>
      </c>
      <c r="I25" s="211"/>
      <c r="J25" s="13"/>
      <c r="K25" s="12"/>
      <c r="L25" s="13"/>
      <c r="M25" s="12"/>
      <c r="N25" s="13"/>
    </row>
    <row r="26" spans="1:14" ht="14.25" customHeight="1" thickBot="1">
      <c r="A26" s="396"/>
      <c r="B26" s="247" t="s">
        <v>95</v>
      </c>
      <c r="C26" s="77">
        <v>34.5</v>
      </c>
      <c r="D26" s="176">
        <f>49.863*1.075*1.2</f>
        <v>64.32327</v>
      </c>
      <c r="E26" s="391"/>
      <c r="F26" s="389"/>
      <c r="G26" s="216">
        <v>0</v>
      </c>
      <c r="H26" s="105">
        <v>6.91</v>
      </c>
      <c r="I26" s="96"/>
      <c r="J26" s="5"/>
      <c r="K26" s="4"/>
      <c r="L26" s="5"/>
      <c r="M26" s="4"/>
      <c r="N26" s="5"/>
    </row>
    <row r="27" spans="1:14" ht="14.25" customHeight="1">
      <c r="A27" s="392" t="s">
        <v>23</v>
      </c>
      <c r="B27" s="248" t="s">
        <v>94</v>
      </c>
      <c r="C27" s="109">
        <f>3440+626</f>
        <v>4066</v>
      </c>
      <c r="D27" s="243">
        <f>(8.73+3.049+0.437+0.015)*1.075*1.2</f>
        <v>15.777989999999999</v>
      </c>
      <c r="E27" s="390">
        <f>287</f>
        <v>287</v>
      </c>
      <c r="F27" s="388">
        <f>22.54+6.56+29.07</f>
        <v>58.17</v>
      </c>
      <c r="G27" s="287">
        <v>2044.8</v>
      </c>
      <c r="H27" s="99">
        <v>56.19</v>
      </c>
      <c r="I27" s="96"/>
      <c r="J27" s="5"/>
      <c r="K27" s="4"/>
      <c r="L27" s="5"/>
      <c r="M27" s="4"/>
      <c r="N27" s="5"/>
    </row>
    <row r="28" spans="1:14" ht="14.25" customHeight="1" thickBot="1">
      <c r="A28" s="396"/>
      <c r="B28" s="247" t="s">
        <v>95</v>
      </c>
      <c r="C28" s="77">
        <v>34.5</v>
      </c>
      <c r="D28" s="176">
        <f>49.863*1.075*1.2</f>
        <v>64.32327</v>
      </c>
      <c r="E28" s="391"/>
      <c r="F28" s="389"/>
      <c r="G28" s="216">
        <v>0</v>
      </c>
      <c r="H28" s="105">
        <v>6.91</v>
      </c>
      <c r="I28" s="96"/>
      <c r="J28" s="5"/>
      <c r="K28" s="4"/>
      <c r="L28" s="5"/>
      <c r="M28" s="4"/>
      <c r="N28" s="5"/>
    </row>
    <row r="29" spans="1:14" ht="14.25" customHeight="1">
      <c r="A29" s="392" t="s">
        <v>24</v>
      </c>
      <c r="B29" s="248" t="s">
        <v>94</v>
      </c>
      <c r="C29" s="109">
        <f>4240+1099</f>
        <v>5339</v>
      </c>
      <c r="D29" s="243">
        <f>(8.73+3.394+0.437+0.015)*1.075*1.2</f>
        <v>16.223039999999997</v>
      </c>
      <c r="E29" s="397">
        <f>279</f>
        <v>279</v>
      </c>
      <c r="F29" s="388">
        <v>58.17</v>
      </c>
      <c r="G29" s="287">
        <v>2044.8</v>
      </c>
      <c r="H29" s="99">
        <v>56.19</v>
      </c>
      <c r="I29" s="96"/>
      <c r="J29" s="5"/>
      <c r="K29" s="4"/>
      <c r="L29" s="5"/>
      <c r="M29" s="4"/>
      <c r="N29" s="5"/>
    </row>
    <row r="30" spans="1:14" ht="14.25" customHeight="1" thickBot="1">
      <c r="A30" s="396"/>
      <c r="B30" s="247" t="s">
        <v>95</v>
      </c>
      <c r="C30" s="77">
        <v>34.5</v>
      </c>
      <c r="D30" s="176">
        <f>54.258*1.075*1.2</f>
        <v>69.99282</v>
      </c>
      <c r="E30" s="398"/>
      <c r="F30" s="389"/>
      <c r="G30" s="216">
        <v>31170</v>
      </c>
      <c r="H30" s="105">
        <v>6.91</v>
      </c>
      <c r="I30" s="96"/>
      <c r="J30" s="5"/>
      <c r="K30" s="4"/>
      <c r="L30" s="5"/>
      <c r="M30" s="4"/>
      <c r="N30" s="5"/>
    </row>
    <row r="31" spans="1:14" ht="14.25" customHeight="1">
      <c r="A31" s="392" t="s">
        <v>25</v>
      </c>
      <c r="B31" s="248" t="s">
        <v>94</v>
      </c>
      <c r="C31" s="168">
        <f>3800+1445</f>
        <v>5245</v>
      </c>
      <c r="D31" s="243">
        <f>(8.73+3.394+0.437+0.015)*1.075*1.2</f>
        <v>16.223039999999997</v>
      </c>
      <c r="E31" s="397">
        <v>181</v>
      </c>
      <c r="F31" s="388">
        <v>58.17</v>
      </c>
      <c r="G31" s="287">
        <v>2044.8</v>
      </c>
      <c r="H31" s="99">
        <v>56.19</v>
      </c>
      <c r="I31" s="96"/>
      <c r="J31" s="5"/>
      <c r="K31" s="4"/>
      <c r="L31" s="5"/>
      <c r="M31" s="4"/>
      <c r="N31" s="5"/>
    </row>
    <row r="32" spans="1:14" ht="14.25" customHeight="1" thickBot="1">
      <c r="A32" s="396"/>
      <c r="B32" s="247" t="s">
        <v>95</v>
      </c>
      <c r="C32" s="90">
        <v>34.5</v>
      </c>
      <c r="D32" s="176">
        <f>54.258*1.075*1.2</f>
        <v>69.99282</v>
      </c>
      <c r="E32" s="398"/>
      <c r="F32" s="389"/>
      <c r="G32" s="216">
        <v>55889</v>
      </c>
      <c r="H32" s="105">
        <v>6.91</v>
      </c>
      <c r="I32" s="96"/>
      <c r="J32" s="5"/>
      <c r="K32" s="4"/>
      <c r="L32" s="5"/>
      <c r="M32" s="4"/>
      <c r="N32" s="5"/>
    </row>
    <row r="33" spans="1:14" ht="14.25" customHeight="1">
      <c r="A33" s="392" t="s">
        <v>26</v>
      </c>
      <c r="B33" s="248" t="s">
        <v>94</v>
      </c>
      <c r="C33" s="109"/>
      <c r="D33" s="267"/>
      <c r="E33" s="390"/>
      <c r="F33" s="388"/>
      <c r="G33" s="251"/>
      <c r="H33" s="100"/>
      <c r="I33" s="66"/>
      <c r="J33" s="10"/>
      <c r="K33" s="9"/>
      <c r="L33" s="10"/>
      <c r="M33" s="9"/>
      <c r="N33" s="10"/>
    </row>
    <row r="34" spans="1:14" ht="14.25" customHeight="1" thickBot="1">
      <c r="A34" s="393"/>
      <c r="B34" s="161" t="s">
        <v>95</v>
      </c>
      <c r="C34" s="249"/>
      <c r="D34" s="176"/>
      <c r="E34" s="394"/>
      <c r="F34" s="395"/>
      <c r="G34" s="252"/>
      <c r="H34" s="250"/>
      <c r="I34" s="65"/>
      <c r="J34" s="3"/>
      <c r="K34" s="2"/>
      <c r="L34" s="3"/>
      <c r="M34" s="2"/>
      <c r="N34" s="3"/>
    </row>
    <row r="35" ht="14.25" customHeight="1" thickTop="1"/>
    <row r="36" spans="1:6" ht="14.25" customHeight="1">
      <c r="A36" s="405" t="s">
        <v>32</v>
      </c>
      <c r="B36" s="403"/>
      <c r="C36" s="403"/>
      <c r="D36" s="404"/>
      <c r="E36" s="23"/>
      <c r="F36" s="23"/>
    </row>
    <row r="37" spans="1:6" ht="14.25" customHeight="1">
      <c r="A37" s="23"/>
      <c r="B37" s="22" t="s">
        <v>33</v>
      </c>
      <c r="C37" s="22"/>
      <c r="D37" s="23"/>
      <c r="E37" s="23"/>
      <c r="F37" s="23"/>
    </row>
    <row r="38" spans="1:9" ht="14.25" customHeight="1">
      <c r="A38" s="23"/>
      <c r="B38" s="403" t="s">
        <v>35</v>
      </c>
      <c r="C38" s="403"/>
      <c r="D38" s="403"/>
      <c r="E38" s="404"/>
      <c r="F38" s="23"/>
      <c r="I38" s="197"/>
    </row>
    <row r="39" spans="1:9" ht="14.25" customHeight="1">
      <c r="A39" s="23"/>
      <c r="B39" s="403" t="s">
        <v>34</v>
      </c>
      <c r="C39" s="403"/>
      <c r="D39" s="403"/>
      <c r="E39" s="23"/>
      <c r="F39" s="23"/>
      <c r="I39" s="197"/>
    </row>
    <row r="40" spans="1:9" ht="14.25" customHeight="1">
      <c r="A40" s="23"/>
      <c r="B40" s="23"/>
      <c r="C40" s="23"/>
      <c r="D40" s="23"/>
      <c r="E40" s="23"/>
      <c r="F40" s="23"/>
      <c r="I40" s="197"/>
    </row>
    <row r="41" ht="14.25" customHeight="1">
      <c r="I41" s="197"/>
    </row>
    <row r="42" ht="14.25" customHeight="1">
      <c r="I42" s="197"/>
    </row>
    <row r="43" ht="14.25" customHeight="1">
      <c r="I43" s="197"/>
    </row>
    <row r="44" ht="14.25" customHeight="1">
      <c r="I44" s="197"/>
    </row>
    <row r="45" ht="14.25" customHeight="1">
      <c r="I45" s="197"/>
    </row>
    <row r="46" ht="14.25" customHeight="1">
      <c r="I46" s="197"/>
    </row>
    <row r="47" ht="14.25" customHeight="1">
      <c r="I47" s="197"/>
    </row>
    <row r="48" ht="14.25" customHeight="1">
      <c r="I48" s="197"/>
    </row>
    <row r="49" ht="14.25" customHeight="1">
      <c r="I49" s="197"/>
    </row>
    <row r="50" ht="14.25" customHeight="1"/>
    <row r="51" ht="14.25" customHeight="1"/>
    <row r="52" ht="14.25" customHeight="1"/>
    <row r="53" ht="14.2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8" customHeight="1"/>
    <row r="66" ht="18" customHeight="1"/>
    <row r="67" ht="18" customHeight="1"/>
  </sheetData>
  <sheetProtection/>
  <mergeCells count="52">
    <mergeCell ref="B8:D8"/>
    <mergeCell ref="F21:F22"/>
    <mergeCell ref="F23:F24"/>
    <mergeCell ref="K9:L9"/>
    <mergeCell ref="G9:H9"/>
    <mergeCell ref="F15:F16"/>
    <mergeCell ref="A13:A14"/>
    <mergeCell ref="I9:J9"/>
    <mergeCell ref="E13:E14"/>
    <mergeCell ref="E11:E12"/>
    <mergeCell ref="A11:A12"/>
    <mergeCell ref="F11:F12"/>
    <mergeCell ref="A23:A24"/>
    <mergeCell ref="E23:E24"/>
    <mergeCell ref="A6:N7"/>
    <mergeCell ref="G8:N8"/>
    <mergeCell ref="D9:D10"/>
    <mergeCell ref="A8:A10"/>
    <mergeCell ref="E9:E10"/>
    <mergeCell ref="F9:F10"/>
    <mergeCell ref="M9:N9"/>
    <mergeCell ref="E8:F8"/>
    <mergeCell ref="B39:D39"/>
    <mergeCell ref="B38:E38"/>
    <mergeCell ref="A36:D36"/>
    <mergeCell ref="A15:A16"/>
    <mergeCell ref="E15:E16"/>
    <mergeCell ref="A17:A18"/>
    <mergeCell ref="E19:E20"/>
    <mergeCell ref="A27:A28"/>
    <mergeCell ref="A21:A22"/>
    <mergeCell ref="E21:E22"/>
    <mergeCell ref="F31:F32"/>
    <mergeCell ref="B9:C10"/>
    <mergeCell ref="F13:F14"/>
    <mergeCell ref="A25:A26"/>
    <mergeCell ref="E25:E26"/>
    <mergeCell ref="F25:F26"/>
    <mergeCell ref="F19:F20"/>
    <mergeCell ref="A19:A20"/>
    <mergeCell ref="E17:E18"/>
    <mergeCell ref="F17:F18"/>
    <mergeCell ref="F29:F30"/>
    <mergeCell ref="F27:F28"/>
    <mergeCell ref="E27:E28"/>
    <mergeCell ref="A33:A34"/>
    <mergeCell ref="E33:E34"/>
    <mergeCell ref="F33:F34"/>
    <mergeCell ref="A29:A30"/>
    <mergeCell ref="E29:E30"/>
    <mergeCell ref="A31:A32"/>
    <mergeCell ref="E31:E32"/>
  </mergeCells>
  <printOptions/>
  <pageMargins left="0.44" right="0.26" top="0.33" bottom="0.41" header="0.11811023622047245" footer="0.25"/>
  <pageSetup horizontalDpi="600" verticalDpi="600" orientation="landscape" paperSize="9" r:id="rId1"/>
  <headerFooter alignWithMargins="0">
    <oddFooter>&amp;R&amp;P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O52"/>
  <sheetViews>
    <sheetView zoomScalePageLayoutView="0" workbookViewId="0" topLeftCell="A22">
      <selection activeCell="D44" sqref="D44"/>
    </sheetView>
  </sheetViews>
  <sheetFormatPr defaultColWidth="9.140625" defaultRowHeight="12.75"/>
  <cols>
    <col min="1" max="1" width="18.57421875" style="0" customWidth="1"/>
    <col min="2" max="2" width="7.421875" style="0" customWidth="1"/>
    <col min="3" max="3" width="13.8515625" style="0" customWidth="1"/>
    <col min="4" max="4" width="10.140625" style="0" customWidth="1"/>
    <col min="5" max="5" width="12.140625" style="0" customWidth="1"/>
    <col min="6" max="6" width="6.28125" style="0" customWidth="1"/>
    <col min="7" max="7" width="10.7109375" style="0" customWidth="1"/>
    <col min="8" max="8" width="13.7109375" style="0" customWidth="1"/>
    <col min="9" max="9" width="11.57421875" style="0" customWidth="1"/>
    <col min="10" max="10" width="7.8515625" style="0" customWidth="1"/>
    <col min="11" max="11" width="12.57421875" style="0" customWidth="1"/>
    <col min="12" max="12" width="5.8515625" style="0" customWidth="1"/>
    <col min="13" max="13" width="12.28125" style="0" customWidth="1"/>
    <col min="14" max="14" width="8.57421875" style="0" customWidth="1"/>
  </cols>
  <sheetData>
    <row r="1" spans="1:13" ht="15">
      <c r="A1" s="19" t="s">
        <v>41</v>
      </c>
      <c r="B1" s="17" t="s">
        <v>48</v>
      </c>
      <c r="C1" s="17"/>
      <c r="D1" s="18"/>
      <c r="E1" s="18">
        <v>51223</v>
      </c>
      <c r="F1" s="18"/>
      <c r="G1" s="18"/>
      <c r="H1" s="17" t="s">
        <v>29</v>
      </c>
      <c r="I1" s="17"/>
      <c r="J1" s="17"/>
      <c r="K1" s="28">
        <v>1520</v>
      </c>
      <c r="L1" s="18"/>
      <c r="M1" s="1"/>
    </row>
    <row r="2" spans="1:13" ht="15">
      <c r="A2" s="17" t="s">
        <v>1</v>
      </c>
      <c r="B2" s="17" t="s">
        <v>58</v>
      </c>
      <c r="C2" s="17"/>
      <c r="D2" s="18"/>
      <c r="E2" s="18">
        <v>51222</v>
      </c>
      <c r="F2" s="18"/>
      <c r="G2" s="18"/>
      <c r="H2" s="17" t="s">
        <v>2</v>
      </c>
      <c r="I2" s="17"/>
      <c r="J2" s="17"/>
      <c r="K2" s="18">
        <v>13</v>
      </c>
      <c r="L2" s="18"/>
      <c r="M2" s="1"/>
    </row>
    <row r="3" spans="1:13" ht="15">
      <c r="A3" s="17" t="s">
        <v>0</v>
      </c>
      <c r="B3" s="17" t="s">
        <v>38</v>
      </c>
      <c r="C3" s="17"/>
      <c r="D3" s="18"/>
      <c r="E3" s="18"/>
      <c r="F3" s="18"/>
      <c r="G3" s="18"/>
      <c r="H3" s="17" t="s">
        <v>3</v>
      </c>
      <c r="I3" s="17"/>
      <c r="J3" s="17"/>
      <c r="K3" s="18">
        <v>3</v>
      </c>
      <c r="L3" s="18"/>
      <c r="M3" s="1"/>
    </row>
    <row r="4" spans="1:15" ht="15">
      <c r="A4" s="17" t="s">
        <v>4</v>
      </c>
      <c r="B4" s="17">
        <v>258</v>
      </c>
      <c r="C4" s="17"/>
      <c r="D4" s="18"/>
      <c r="E4" s="18"/>
      <c r="F4" s="18"/>
      <c r="G4" s="18"/>
      <c r="H4" s="17" t="s">
        <v>31</v>
      </c>
      <c r="I4" s="17"/>
      <c r="J4" s="17"/>
      <c r="K4" s="33" t="s">
        <v>62</v>
      </c>
      <c r="L4" s="21"/>
      <c r="M4" s="21"/>
      <c r="N4" s="21"/>
      <c r="O4" s="21"/>
    </row>
    <row r="5" spans="1:13" ht="15" thickBot="1">
      <c r="A5" s="1"/>
      <c r="B5" s="1"/>
      <c r="C5" s="1"/>
      <c r="D5" s="1"/>
      <c r="E5" s="1"/>
      <c r="F5" s="1"/>
      <c r="G5" s="1"/>
      <c r="H5" s="1"/>
      <c r="I5" s="1"/>
      <c r="J5" s="35"/>
      <c r="K5" s="35" t="s">
        <v>65</v>
      </c>
      <c r="L5" s="35"/>
      <c r="M5" s="1"/>
    </row>
    <row r="6" spans="1:14" ht="13.5" thickTop="1">
      <c r="A6" s="376" t="s">
        <v>5</v>
      </c>
      <c r="B6" s="377"/>
      <c r="C6" s="377"/>
      <c r="D6" s="377"/>
      <c r="E6" s="377"/>
      <c r="F6" s="377"/>
      <c r="G6" s="377"/>
      <c r="H6" s="377"/>
      <c r="I6" s="377"/>
      <c r="J6" s="377"/>
      <c r="K6" s="377"/>
      <c r="L6" s="377"/>
      <c r="M6" s="377"/>
      <c r="N6" s="378"/>
    </row>
    <row r="7" spans="1:14" ht="13.5" thickBot="1">
      <c r="A7" s="379"/>
      <c r="B7" s="380"/>
      <c r="C7" s="380"/>
      <c r="D7" s="380"/>
      <c r="E7" s="380"/>
      <c r="F7" s="380"/>
      <c r="G7" s="380"/>
      <c r="H7" s="380"/>
      <c r="I7" s="380"/>
      <c r="J7" s="380"/>
      <c r="K7" s="380"/>
      <c r="L7" s="380"/>
      <c r="M7" s="380"/>
      <c r="N7" s="381"/>
    </row>
    <row r="8" spans="1:14" ht="16.5" thickBot="1" thickTop="1">
      <c r="A8" s="369" t="s">
        <v>6</v>
      </c>
      <c r="B8" s="357" t="s">
        <v>7</v>
      </c>
      <c r="C8" s="361"/>
      <c r="D8" s="358"/>
      <c r="E8" s="357" t="s">
        <v>11</v>
      </c>
      <c r="F8" s="358"/>
      <c r="G8" s="382" t="s">
        <v>15</v>
      </c>
      <c r="H8" s="383"/>
      <c r="I8" s="383"/>
      <c r="J8" s="383"/>
      <c r="K8" s="383"/>
      <c r="L8" s="383"/>
      <c r="M8" s="383"/>
      <c r="N8" s="384"/>
    </row>
    <row r="9" spans="1:14" ht="13.5" thickTop="1">
      <c r="A9" s="370"/>
      <c r="B9" s="399" t="s">
        <v>8</v>
      </c>
      <c r="C9" s="372"/>
      <c r="D9" s="373" t="s">
        <v>9</v>
      </c>
      <c r="E9" s="466" t="s">
        <v>10</v>
      </c>
      <c r="F9" s="373" t="s">
        <v>9</v>
      </c>
      <c r="G9" s="365" t="s">
        <v>27</v>
      </c>
      <c r="H9" s="366"/>
      <c r="I9" s="375" t="s">
        <v>98</v>
      </c>
      <c r="J9" s="356"/>
      <c r="K9" s="375" t="s">
        <v>13</v>
      </c>
      <c r="L9" s="541"/>
      <c r="M9" s="535" t="s">
        <v>14</v>
      </c>
      <c r="N9" s="536"/>
    </row>
    <row r="10" spans="1:14" ht="15" thickBot="1">
      <c r="A10" s="371"/>
      <c r="B10" s="469"/>
      <c r="C10" s="394"/>
      <c r="D10" s="374"/>
      <c r="E10" s="467"/>
      <c r="F10" s="374"/>
      <c r="G10" s="11" t="s">
        <v>114</v>
      </c>
      <c r="H10" s="10" t="s">
        <v>9</v>
      </c>
      <c r="I10" s="106" t="s">
        <v>99</v>
      </c>
      <c r="J10" s="10" t="s">
        <v>9</v>
      </c>
      <c r="K10" s="2" t="s">
        <v>10</v>
      </c>
      <c r="L10" s="133" t="s">
        <v>9</v>
      </c>
      <c r="M10" s="134" t="s">
        <v>30</v>
      </c>
      <c r="N10" s="135" t="s">
        <v>9</v>
      </c>
    </row>
    <row r="11" spans="1:14" ht="15.75" customHeight="1" thickTop="1">
      <c r="A11" s="494" t="s">
        <v>16</v>
      </c>
      <c r="B11" s="255" t="s">
        <v>94</v>
      </c>
      <c r="C11" s="185">
        <v>3390</v>
      </c>
      <c r="D11" s="186">
        <f>(6.29+3.187+0.437+0.015)*1.075*1.2</f>
        <v>12.808409999999999</v>
      </c>
      <c r="E11" s="466">
        <f>21</f>
        <v>21</v>
      </c>
      <c r="F11" s="360">
        <v>52.47</v>
      </c>
      <c r="G11" s="231"/>
      <c r="H11" s="232"/>
      <c r="I11" s="539">
        <v>7000</v>
      </c>
      <c r="J11" s="537">
        <v>139.32</v>
      </c>
      <c r="K11" s="75"/>
      <c r="L11" s="131"/>
      <c r="M11" s="74"/>
      <c r="N11" s="103"/>
    </row>
    <row r="12" spans="1:14" ht="15" customHeight="1">
      <c r="A12" s="455"/>
      <c r="B12" s="256" t="s">
        <v>95</v>
      </c>
      <c r="C12" s="89">
        <v>690</v>
      </c>
      <c r="D12" s="187">
        <f>(4.04+0.797+0.437+0.015)*1.075*1.2</f>
        <v>6.82281</v>
      </c>
      <c r="E12" s="473"/>
      <c r="F12" s="515"/>
      <c r="G12" s="233"/>
      <c r="H12" s="234"/>
      <c r="I12" s="540"/>
      <c r="J12" s="538"/>
      <c r="K12" s="75"/>
      <c r="L12" s="131"/>
      <c r="M12" s="74"/>
      <c r="N12" s="103"/>
    </row>
    <row r="13" spans="1:14" ht="15" customHeight="1" thickBot="1">
      <c r="A13" s="455"/>
      <c r="B13" s="55" t="s">
        <v>110</v>
      </c>
      <c r="C13" s="149">
        <v>17.25</v>
      </c>
      <c r="D13" s="189">
        <f>49.291*1.075*1.2</f>
        <v>63.58538999999999</v>
      </c>
      <c r="E13" s="473"/>
      <c r="F13" s="515"/>
      <c r="G13" s="233"/>
      <c r="H13" s="234"/>
      <c r="I13" s="540"/>
      <c r="J13" s="538"/>
      <c r="K13" s="75"/>
      <c r="L13" s="131"/>
      <c r="M13" s="74"/>
      <c r="N13" s="103"/>
    </row>
    <row r="14" spans="1:14" ht="15" customHeight="1" thickTop="1">
      <c r="A14" s="454" t="s">
        <v>17</v>
      </c>
      <c r="B14" s="55" t="s">
        <v>94</v>
      </c>
      <c r="C14" s="167">
        <v>3660</v>
      </c>
      <c r="D14" s="186">
        <f>(6.29+3.485+0.437+0.015)*1.075*1.2</f>
        <v>13.19283</v>
      </c>
      <c r="E14" s="472">
        <v>34</v>
      </c>
      <c r="F14" s="528">
        <v>52.47</v>
      </c>
      <c r="G14" s="235"/>
      <c r="H14" s="236"/>
      <c r="I14" s="532">
        <v>0</v>
      </c>
      <c r="J14" s="530">
        <v>0</v>
      </c>
      <c r="K14" s="66"/>
      <c r="L14" s="130"/>
      <c r="M14" s="73"/>
      <c r="N14" s="100"/>
    </row>
    <row r="15" spans="1:14" ht="15" customHeight="1">
      <c r="A15" s="455"/>
      <c r="B15" s="55" t="s">
        <v>95</v>
      </c>
      <c r="C15" s="92">
        <v>780</v>
      </c>
      <c r="D15" s="187">
        <f>(4.04+0.871+0.437+0.015)*1.075*1.2</f>
        <v>6.918269999999999</v>
      </c>
      <c r="E15" s="473"/>
      <c r="F15" s="529"/>
      <c r="G15" s="233"/>
      <c r="H15" s="234"/>
      <c r="I15" s="533"/>
      <c r="J15" s="531"/>
      <c r="K15" s="75"/>
      <c r="L15" s="131"/>
      <c r="M15" s="74"/>
      <c r="N15" s="103"/>
    </row>
    <row r="16" spans="1:14" ht="15" customHeight="1" thickBot="1">
      <c r="A16" s="455"/>
      <c r="B16" s="55" t="s">
        <v>110</v>
      </c>
      <c r="C16" s="111">
        <v>17.25</v>
      </c>
      <c r="D16" s="189">
        <f>49.863*1.075*1.2</f>
        <v>64.32327</v>
      </c>
      <c r="E16" s="473"/>
      <c r="F16" s="529"/>
      <c r="G16" s="233"/>
      <c r="H16" s="234"/>
      <c r="I16" s="533"/>
      <c r="J16" s="531"/>
      <c r="K16" s="75"/>
      <c r="L16" s="131"/>
      <c r="M16" s="74"/>
      <c r="N16" s="103"/>
    </row>
    <row r="17" spans="1:14" ht="15" customHeight="1" thickTop="1">
      <c r="A17" s="454" t="s">
        <v>18</v>
      </c>
      <c r="B17" s="59" t="s">
        <v>94</v>
      </c>
      <c r="C17" s="167">
        <v>3510</v>
      </c>
      <c r="D17" s="186">
        <f>(6.29+3.485+0.437+0.015)*1.075*1.2</f>
        <v>13.19283</v>
      </c>
      <c r="E17" s="472">
        <v>21</v>
      </c>
      <c r="F17" s="528">
        <v>52.47</v>
      </c>
      <c r="G17" s="235"/>
      <c r="H17" s="236"/>
      <c r="I17" s="532">
        <v>4000</v>
      </c>
      <c r="J17" s="530">
        <v>146.04</v>
      </c>
      <c r="K17" s="66"/>
      <c r="L17" s="130"/>
      <c r="M17" s="73"/>
      <c r="N17" s="100"/>
    </row>
    <row r="18" spans="1:14" ht="15" customHeight="1">
      <c r="A18" s="455"/>
      <c r="B18" s="55" t="s">
        <v>95</v>
      </c>
      <c r="C18" s="92">
        <v>690</v>
      </c>
      <c r="D18" s="187">
        <f>(4.04+0.871+0.437+0.015)*1.075*1.2</f>
        <v>6.918269999999999</v>
      </c>
      <c r="E18" s="473"/>
      <c r="F18" s="529"/>
      <c r="G18" s="233"/>
      <c r="H18" s="234"/>
      <c r="I18" s="533"/>
      <c r="J18" s="531"/>
      <c r="K18" s="75"/>
      <c r="L18" s="131"/>
      <c r="M18" s="74"/>
      <c r="N18" s="103"/>
    </row>
    <row r="19" spans="1:14" ht="15" customHeight="1" thickBot="1">
      <c r="A19" s="455"/>
      <c r="B19" s="55" t="s">
        <v>110</v>
      </c>
      <c r="C19" s="111">
        <v>17.25</v>
      </c>
      <c r="D19" s="189">
        <f>49.863*1.075*1.2</f>
        <v>64.32327</v>
      </c>
      <c r="E19" s="473"/>
      <c r="F19" s="529"/>
      <c r="G19" s="233"/>
      <c r="H19" s="234"/>
      <c r="I19" s="533"/>
      <c r="J19" s="531"/>
      <c r="K19" s="75"/>
      <c r="L19" s="131"/>
      <c r="M19" s="74"/>
      <c r="N19" s="103"/>
    </row>
    <row r="20" spans="1:14" ht="13.5" thickTop="1">
      <c r="A20" s="454" t="s">
        <v>19</v>
      </c>
      <c r="B20" s="257" t="s">
        <v>94</v>
      </c>
      <c r="C20" s="167">
        <v>3120</v>
      </c>
      <c r="D20" s="186">
        <f>(6.29+3.485+0.437+0.015)*1.075*1.2</f>
        <v>13.19283</v>
      </c>
      <c r="E20" s="472">
        <v>22</v>
      </c>
      <c r="F20" s="528">
        <v>52.47</v>
      </c>
      <c r="G20" s="235"/>
      <c r="H20" s="236"/>
      <c r="I20" s="532">
        <v>3000</v>
      </c>
      <c r="J20" s="530">
        <v>146.04</v>
      </c>
      <c r="K20" s="66"/>
      <c r="L20" s="130"/>
      <c r="M20" s="73"/>
      <c r="N20" s="100"/>
    </row>
    <row r="21" spans="1:14" ht="15" customHeight="1">
      <c r="A21" s="455"/>
      <c r="B21" s="256" t="s">
        <v>95</v>
      </c>
      <c r="C21" s="92">
        <v>690</v>
      </c>
      <c r="D21" s="187">
        <f>(4.04+0.871+0.437+0.015)*1.075*1.2</f>
        <v>6.918269999999999</v>
      </c>
      <c r="E21" s="473"/>
      <c r="F21" s="529"/>
      <c r="G21" s="233"/>
      <c r="H21" s="234"/>
      <c r="I21" s="533"/>
      <c r="J21" s="531"/>
      <c r="K21" s="75"/>
      <c r="L21" s="131"/>
      <c r="M21" s="74"/>
      <c r="N21" s="103"/>
    </row>
    <row r="22" spans="1:14" ht="15" customHeight="1" thickBot="1">
      <c r="A22" s="455"/>
      <c r="B22" s="55" t="s">
        <v>110</v>
      </c>
      <c r="C22" s="111">
        <v>17.25</v>
      </c>
      <c r="D22" s="189">
        <f>49.863*1.075*1.2</f>
        <v>64.32327</v>
      </c>
      <c r="E22" s="473"/>
      <c r="F22" s="529"/>
      <c r="G22" s="233"/>
      <c r="H22" s="234"/>
      <c r="I22" s="533"/>
      <c r="J22" s="531"/>
      <c r="K22" s="75"/>
      <c r="L22" s="131"/>
      <c r="M22" s="74"/>
      <c r="N22" s="103"/>
    </row>
    <row r="23" spans="1:14" ht="13.5" thickTop="1">
      <c r="A23" s="454" t="s">
        <v>20</v>
      </c>
      <c r="B23" s="59" t="s">
        <v>94</v>
      </c>
      <c r="C23" s="167">
        <v>2190</v>
      </c>
      <c r="D23" s="186">
        <f>(6.29+3.485+0.437+0.015)*1.075*1.2</f>
        <v>13.19283</v>
      </c>
      <c r="E23" s="472">
        <v>30</v>
      </c>
      <c r="F23" s="528">
        <v>52.47</v>
      </c>
      <c r="G23" s="235"/>
      <c r="H23" s="236"/>
      <c r="I23" s="516">
        <v>0</v>
      </c>
      <c r="J23" s="530">
        <v>0</v>
      </c>
      <c r="K23" s="66"/>
      <c r="L23" s="130"/>
      <c r="M23" s="73"/>
      <c r="N23" s="100"/>
    </row>
    <row r="24" spans="1:14" ht="15" customHeight="1">
      <c r="A24" s="455"/>
      <c r="B24" s="55" t="s">
        <v>95</v>
      </c>
      <c r="C24" s="92">
        <v>420</v>
      </c>
      <c r="D24" s="187">
        <f>(4.04+0.871+0.437+0.015)*1.075*1.2</f>
        <v>6.918269999999999</v>
      </c>
      <c r="E24" s="473"/>
      <c r="F24" s="529"/>
      <c r="G24" s="233"/>
      <c r="H24" s="234"/>
      <c r="I24" s="517"/>
      <c r="J24" s="531"/>
      <c r="K24" s="75"/>
      <c r="L24" s="131"/>
      <c r="M24" s="74"/>
      <c r="N24" s="103"/>
    </row>
    <row r="25" spans="1:14" ht="15" customHeight="1" thickBot="1">
      <c r="A25" s="455"/>
      <c r="B25" s="55" t="s">
        <v>110</v>
      </c>
      <c r="C25" s="111">
        <v>17.25</v>
      </c>
      <c r="D25" s="189">
        <f>49.863*1.075*1.2</f>
        <v>64.32327</v>
      </c>
      <c r="E25" s="473"/>
      <c r="F25" s="529"/>
      <c r="G25" s="233"/>
      <c r="H25" s="234"/>
      <c r="I25" s="534"/>
      <c r="J25" s="531"/>
      <c r="K25" s="75"/>
      <c r="L25" s="131"/>
      <c r="M25" s="74"/>
      <c r="N25" s="103"/>
    </row>
    <row r="26" spans="1:14" ht="15" customHeight="1" thickTop="1">
      <c r="A26" s="454" t="s">
        <v>68</v>
      </c>
      <c r="B26" s="59" t="s">
        <v>94</v>
      </c>
      <c r="C26" s="167">
        <v>2310</v>
      </c>
      <c r="D26" s="186">
        <f>(6.29+3.485+0.437+0.015)*1.075*1.2</f>
        <v>13.19283</v>
      </c>
      <c r="E26" s="472">
        <v>21</v>
      </c>
      <c r="F26" s="528">
        <v>52.47</v>
      </c>
      <c r="G26" s="235"/>
      <c r="H26" s="236"/>
      <c r="I26" s="516">
        <v>0</v>
      </c>
      <c r="J26" s="530">
        <v>0</v>
      </c>
      <c r="K26" s="66"/>
      <c r="L26" s="130"/>
      <c r="M26" s="73"/>
      <c r="N26" s="100"/>
    </row>
    <row r="27" spans="1:14" ht="15.75" customHeight="1">
      <c r="A27" s="455"/>
      <c r="B27" s="55" t="s">
        <v>95</v>
      </c>
      <c r="C27" s="92">
        <v>240</v>
      </c>
      <c r="D27" s="187">
        <f>(4.04+0.871+0.437+0.015)*1.075*1.2</f>
        <v>6.918269999999999</v>
      </c>
      <c r="E27" s="473"/>
      <c r="F27" s="529"/>
      <c r="G27" s="233"/>
      <c r="H27" s="234"/>
      <c r="I27" s="517"/>
      <c r="J27" s="531"/>
      <c r="K27" s="75"/>
      <c r="L27" s="131"/>
      <c r="M27" s="74"/>
      <c r="N27" s="103"/>
    </row>
    <row r="28" spans="1:14" ht="16.5" customHeight="1" thickBot="1">
      <c r="A28" s="455"/>
      <c r="B28" s="55" t="s">
        <v>110</v>
      </c>
      <c r="C28" s="111">
        <v>17.25</v>
      </c>
      <c r="D28" s="189">
        <f>49.863*1.075*1.2</f>
        <v>64.32327</v>
      </c>
      <c r="E28" s="473"/>
      <c r="F28" s="529"/>
      <c r="G28" s="233"/>
      <c r="H28" s="234"/>
      <c r="I28" s="534"/>
      <c r="J28" s="531"/>
      <c r="K28" s="75"/>
      <c r="L28" s="131"/>
      <c r="M28" s="74"/>
      <c r="N28" s="103"/>
    </row>
    <row r="29" spans="1:14" ht="13.5" thickTop="1">
      <c r="A29" s="454" t="s">
        <v>69</v>
      </c>
      <c r="B29" s="59" t="s">
        <v>94</v>
      </c>
      <c r="C29" s="167">
        <v>1860</v>
      </c>
      <c r="D29" s="186">
        <f>(6.29+3.485+0.437+0.015)*1.075*1.2</f>
        <v>13.19283</v>
      </c>
      <c r="E29" s="472">
        <v>19</v>
      </c>
      <c r="F29" s="388">
        <v>52.47</v>
      </c>
      <c r="G29" s="237"/>
      <c r="H29" s="238"/>
      <c r="I29" s="512">
        <v>0</v>
      </c>
      <c r="J29" s="530">
        <v>0</v>
      </c>
      <c r="K29" s="66"/>
      <c r="L29" s="130"/>
      <c r="M29" s="73"/>
      <c r="N29" s="100"/>
    </row>
    <row r="30" spans="1:14" ht="15" customHeight="1">
      <c r="A30" s="455"/>
      <c r="B30" s="55" t="s">
        <v>95</v>
      </c>
      <c r="C30" s="92">
        <v>180</v>
      </c>
      <c r="D30" s="187">
        <f>(4.04+0.871+0.437+0.015)*1.075*1.2</f>
        <v>6.918269999999999</v>
      </c>
      <c r="E30" s="473"/>
      <c r="F30" s="515"/>
      <c r="G30" s="239"/>
      <c r="H30" s="240"/>
      <c r="I30" s="513"/>
      <c r="J30" s="531"/>
      <c r="K30" s="75"/>
      <c r="L30" s="131"/>
      <c r="M30" s="74"/>
      <c r="N30" s="103"/>
    </row>
    <row r="31" spans="1:14" ht="15" customHeight="1" thickBot="1">
      <c r="A31" s="455"/>
      <c r="B31" s="55" t="s">
        <v>110</v>
      </c>
      <c r="C31" s="111">
        <v>17.25</v>
      </c>
      <c r="D31" s="189">
        <f>49.863*1.075*1.2</f>
        <v>64.32327</v>
      </c>
      <c r="E31" s="473"/>
      <c r="F31" s="515"/>
      <c r="G31" s="239"/>
      <c r="H31" s="241"/>
      <c r="I31" s="514"/>
      <c r="J31" s="531"/>
      <c r="K31" s="75"/>
      <c r="L31" s="131"/>
      <c r="M31" s="74"/>
      <c r="N31" s="103"/>
    </row>
    <row r="32" spans="1:14" ht="13.5" thickTop="1">
      <c r="A32" s="454" t="s">
        <v>22</v>
      </c>
      <c r="B32" s="59" t="s">
        <v>94</v>
      </c>
      <c r="C32" s="167">
        <v>780</v>
      </c>
      <c r="D32" s="186">
        <f>(6.29+3.485+0.437+0.015)*1.075*1.2</f>
        <v>13.19283</v>
      </c>
      <c r="E32" s="472">
        <f>19</f>
        <v>19</v>
      </c>
      <c r="F32" s="388">
        <v>52.47</v>
      </c>
      <c r="G32" s="521"/>
      <c r="H32" s="524"/>
      <c r="I32" s="525">
        <v>0</v>
      </c>
      <c r="J32" s="519">
        <v>0</v>
      </c>
      <c r="K32" s="390"/>
      <c r="L32" s="388"/>
      <c r="M32" s="516"/>
      <c r="N32" s="530"/>
    </row>
    <row r="33" spans="1:14" ht="15" customHeight="1">
      <c r="A33" s="455"/>
      <c r="B33" s="55" t="s">
        <v>95</v>
      </c>
      <c r="C33" s="92">
        <v>180</v>
      </c>
      <c r="D33" s="187">
        <f>(4.04+0.871+0.437+0.015)*1.075*1.2</f>
        <v>6.918269999999999</v>
      </c>
      <c r="E33" s="473"/>
      <c r="F33" s="515"/>
      <c r="G33" s="522"/>
      <c r="H33" s="524"/>
      <c r="I33" s="526"/>
      <c r="J33" s="520"/>
      <c r="K33" s="464"/>
      <c r="L33" s="515"/>
      <c r="M33" s="517"/>
      <c r="N33" s="531"/>
    </row>
    <row r="34" spans="1:14" ht="15" customHeight="1" thickBot="1">
      <c r="A34" s="455"/>
      <c r="B34" s="55" t="s">
        <v>110</v>
      </c>
      <c r="C34" s="111">
        <v>17.25</v>
      </c>
      <c r="D34" s="189">
        <f>49.863*1.075*1.2</f>
        <v>64.32327</v>
      </c>
      <c r="E34" s="473"/>
      <c r="F34" s="515"/>
      <c r="G34" s="522"/>
      <c r="H34" s="524"/>
      <c r="I34" s="527"/>
      <c r="J34" s="520"/>
      <c r="K34" s="464"/>
      <c r="L34" s="515"/>
      <c r="M34" s="517"/>
      <c r="N34" s="531"/>
    </row>
    <row r="35" spans="1:14" ht="13.5" thickTop="1">
      <c r="A35" s="454" t="s">
        <v>23</v>
      </c>
      <c r="B35" s="59" t="s">
        <v>94</v>
      </c>
      <c r="C35" s="167">
        <v>1050</v>
      </c>
      <c r="D35" s="186">
        <f>(9.7+3.485+0.437+0.015)*1.075*1.2</f>
        <v>17.59173</v>
      </c>
      <c r="E35" s="472">
        <v>42</v>
      </c>
      <c r="F35" s="388">
        <v>58.17</v>
      </c>
      <c r="G35" s="521"/>
      <c r="H35" s="523"/>
      <c r="I35" s="552"/>
      <c r="J35" s="519"/>
      <c r="K35" s="390"/>
      <c r="L35" s="388"/>
      <c r="M35" s="516"/>
      <c r="N35" s="530"/>
    </row>
    <row r="36" spans="1:14" ht="15" customHeight="1">
      <c r="A36" s="455"/>
      <c r="B36" s="55" t="s">
        <v>95</v>
      </c>
      <c r="C36" s="92">
        <v>390</v>
      </c>
      <c r="D36" s="187">
        <f>(6.15+0.871+0.437+0.015)*1.075*1.2</f>
        <v>9.640170000000001</v>
      </c>
      <c r="E36" s="473"/>
      <c r="F36" s="515"/>
      <c r="G36" s="522"/>
      <c r="H36" s="524"/>
      <c r="I36" s="553"/>
      <c r="J36" s="520"/>
      <c r="K36" s="464"/>
      <c r="L36" s="515"/>
      <c r="M36" s="517"/>
      <c r="N36" s="531"/>
    </row>
    <row r="37" spans="1:14" ht="15" customHeight="1" thickBot="1">
      <c r="A37" s="455"/>
      <c r="B37" s="55" t="s">
        <v>110</v>
      </c>
      <c r="C37" s="111">
        <v>17.25</v>
      </c>
      <c r="D37" s="189">
        <f>49.863*1.075*1.2</f>
        <v>64.32327</v>
      </c>
      <c r="E37" s="473"/>
      <c r="F37" s="515"/>
      <c r="G37" s="522"/>
      <c r="H37" s="524"/>
      <c r="I37" s="553"/>
      <c r="J37" s="520"/>
      <c r="K37" s="464"/>
      <c r="L37" s="515"/>
      <c r="M37" s="517"/>
      <c r="N37" s="531"/>
    </row>
    <row r="38" spans="1:14" ht="12.75">
      <c r="A38" s="454" t="s">
        <v>24</v>
      </c>
      <c r="B38" s="127" t="s">
        <v>94</v>
      </c>
      <c r="C38" s="123">
        <v>2160</v>
      </c>
      <c r="D38" s="387">
        <f>(9.7+3.879+0.437+0.015)*1.075*1.2</f>
        <v>18.09999</v>
      </c>
      <c r="E38" s="472">
        <v>45</v>
      </c>
      <c r="F38" s="388">
        <v>58.17</v>
      </c>
      <c r="G38" s="521"/>
      <c r="H38" s="523"/>
      <c r="I38" s="555"/>
      <c r="J38" s="548"/>
      <c r="K38" s="390"/>
      <c r="L38" s="388"/>
      <c r="M38" s="516"/>
      <c r="N38" s="530"/>
    </row>
    <row r="39" spans="1:14" ht="15" customHeight="1">
      <c r="A39" s="455"/>
      <c r="B39" s="128" t="s">
        <v>95</v>
      </c>
      <c r="C39" s="68">
        <v>600</v>
      </c>
      <c r="D39" s="187">
        <f>(6.15+0.97+0.437+0.015)*1.075*1.2</f>
        <v>9.767879999999998</v>
      </c>
      <c r="E39" s="473"/>
      <c r="F39" s="515"/>
      <c r="G39" s="522"/>
      <c r="H39" s="524"/>
      <c r="I39" s="555"/>
      <c r="J39" s="548"/>
      <c r="K39" s="464"/>
      <c r="L39" s="515"/>
      <c r="M39" s="517"/>
      <c r="N39" s="531"/>
    </row>
    <row r="40" spans="1:14" ht="15" customHeight="1" thickBot="1">
      <c r="A40" s="455"/>
      <c r="B40" s="128" t="s">
        <v>110</v>
      </c>
      <c r="C40" s="126">
        <v>17.25</v>
      </c>
      <c r="D40" s="189">
        <f>54.258*1.075*1.2</f>
        <v>69.99282</v>
      </c>
      <c r="E40" s="473"/>
      <c r="F40" s="515"/>
      <c r="G40" s="522"/>
      <c r="H40" s="524"/>
      <c r="I40" s="555"/>
      <c r="J40" s="548"/>
      <c r="K40" s="464"/>
      <c r="L40" s="515"/>
      <c r="M40" s="517"/>
      <c r="N40" s="531"/>
    </row>
    <row r="41" spans="1:14" ht="12.75">
      <c r="A41" s="454" t="s">
        <v>25</v>
      </c>
      <c r="B41" s="59" t="s">
        <v>94</v>
      </c>
      <c r="C41" s="93">
        <v>1770</v>
      </c>
      <c r="D41" s="186">
        <f>(9.7+3.879+0.437+0.015)*1.075*1.2</f>
        <v>18.09999</v>
      </c>
      <c r="E41" s="390">
        <v>25</v>
      </c>
      <c r="F41" s="388">
        <v>58.17</v>
      </c>
      <c r="G41" s="521"/>
      <c r="H41" s="523"/>
      <c r="I41" s="556"/>
      <c r="J41" s="549"/>
      <c r="K41" s="390"/>
      <c r="L41" s="388"/>
      <c r="M41" s="516"/>
      <c r="N41" s="530"/>
    </row>
    <row r="42" spans="1:14" ht="12.75">
      <c r="A42" s="455"/>
      <c r="B42" s="55" t="s">
        <v>95</v>
      </c>
      <c r="C42" s="92">
        <v>570</v>
      </c>
      <c r="D42" s="187">
        <f>(6.15+0.97+0.437+0.015)*1.075*1.2</f>
        <v>9.767879999999998</v>
      </c>
      <c r="E42" s="464"/>
      <c r="F42" s="515"/>
      <c r="G42" s="522"/>
      <c r="H42" s="524"/>
      <c r="I42" s="556"/>
      <c r="J42" s="549"/>
      <c r="K42" s="464"/>
      <c r="L42" s="515"/>
      <c r="M42" s="517"/>
      <c r="N42" s="531"/>
    </row>
    <row r="43" spans="1:15" ht="13.5" thickBot="1">
      <c r="A43" s="455"/>
      <c r="B43" s="55" t="s">
        <v>110</v>
      </c>
      <c r="C43" s="125">
        <v>17.25</v>
      </c>
      <c r="D43" s="189">
        <f>54.258*1.075*1.2</f>
        <v>69.99282</v>
      </c>
      <c r="E43" s="464"/>
      <c r="F43" s="515"/>
      <c r="G43" s="522"/>
      <c r="H43" s="524"/>
      <c r="I43" s="556"/>
      <c r="J43" s="549"/>
      <c r="K43" s="464"/>
      <c r="L43" s="515"/>
      <c r="M43" s="517"/>
      <c r="N43" s="531"/>
      <c r="O43" s="132"/>
    </row>
    <row r="44" spans="1:15" ht="13.5" customHeight="1" thickTop="1">
      <c r="A44" s="544" t="s">
        <v>26</v>
      </c>
      <c r="B44" s="136" t="s">
        <v>94</v>
      </c>
      <c r="C44" s="272"/>
      <c r="D44" s="177"/>
      <c r="E44" s="547"/>
      <c r="F44" s="542"/>
      <c r="G44" s="554"/>
      <c r="H44" s="554"/>
      <c r="I44" s="551"/>
      <c r="J44" s="550"/>
      <c r="K44" s="512"/>
      <c r="L44" s="388"/>
      <c r="M44" s="516"/>
      <c r="N44" s="530"/>
      <c r="O44" s="132"/>
    </row>
    <row r="45" spans="1:15" ht="13.5" customHeight="1">
      <c r="A45" s="545"/>
      <c r="B45" s="137" t="s">
        <v>95</v>
      </c>
      <c r="C45" s="113"/>
      <c r="D45" s="180"/>
      <c r="E45" s="547"/>
      <c r="F45" s="542"/>
      <c r="G45" s="554"/>
      <c r="H45" s="554"/>
      <c r="I45" s="551"/>
      <c r="J45" s="550"/>
      <c r="K45" s="513"/>
      <c r="L45" s="515"/>
      <c r="M45" s="517"/>
      <c r="N45" s="531"/>
      <c r="O45" s="132"/>
    </row>
    <row r="46" spans="1:15" ht="13.5" customHeight="1" thickBot="1">
      <c r="A46" s="546"/>
      <c r="B46" s="138" t="s">
        <v>110</v>
      </c>
      <c r="C46" s="274"/>
      <c r="D46" s="180"/>
      <c r="E46" s="547"/>
      <c r="F46" s="542"/>
      <c r="G46" s="554"/>
      <c r="H46" s="554"/>
      <c r="I46" s="551"/>
      <c r="J46" s="550"/>
      <c r="K46" s="514"/>
      <c r="L46" s="389"/>
      <c r="M46" s="518"/>
      <c r="N46" s="557"/>
      <c r="O46" s="132"/>
    </row>
    <row r="47" spans="1:15" ht="13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32"/>
    </row>
    <row r="48" spans="1:14" s="27" customFormat="1" ht="13.5" customHeight="1">
      <c r="A48" s="543" t="s">
        <v>32</v>
      </c>
      <c r="B48" s="403"/>
      <c r="C48" s="403"/>
      <c r="D48" s="403"/>
      <c r="E48" s="23"/>
      <c r="F48" s="23"/>
      <c r="G48" s="23"/>
      <c r="H48" s="23"/>
      <c r="I48" s="23"/>
      <c r="J48" s="23"/>
      <c r="K48" s="23"/>
      <c r="L48" s="23"/>
      <c r="M48" s="23"/>
      <c r="N48" s="23"/>
    </row>
    <row r="49" spans="1:14" s="27" customFormat="1" ht="12.75">
      <c r="A49" s="23"/>
      <c r="B49" s="22" t="s">
        <v>33</v>
      </c>
      <c r="C49" s="22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</row>
    <row r="50" spans="1:14" s="27" customFormat="1" ht="12.75">
      <c r="A50" s="23"/>
      <c r="B50" s="403" t="s">
        <v>35</v>
      </c>
      <c r="C50" s="403"/>
      <c r="D50" s="403"/>
      <c r="E50" s="404"/>
      <c r="F50" s="23"/>
      <c r="G50" s="23"/>
      <c r="H50" s="23"/>
      <c r="I50" s="23"/>
      <c r="J50" s="23"/>
      <c r="K50" s="23"/>
      <c r="L50" s="23"/>
      <c r="M50" s="23"/>
      <c r="N50" s="23"/>
    </row>
    <row r="51" spans="1:14" s="27" customFormat="1" ht="12.75">
      <c r="A51" s="23"/>
      <c r="B51" s="403" t="s">
        <v>34</v>
      </c>
      <c r="C51" s="403"/>
      <c r="D51" s="403"/>
      <c r="E51" s="23"/>
      <c r="F51" s="23"/>
      <c r="G51" s="23"/>
      <c r="H51" s="23"/>
      <c r="I51" s="23"/>
      <c r="J51" s="23"/>
      <c r="K51" s="23"/>
      <c r="L51" s="23"/>
      <c r="M51" s="23"/>
      <c r="N51" s="23"/>
    </row>
    <row r="52" spans="1:14" s="27" customFormat="1" ht="12.75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</row>
  </sheetData>
  <sheetProtection/>
  <mergeCells count="106">
    <mergeCell ref="N38:N40"/>
    <mergeCell ref="G44:G46"/>
    <mergeCell ref="H44:H46"/>
    <mergeCell ref="I38:I40"/>
    <mergeCell ref="I41:I43"/>
    <mergeCell ref="G38:G40"/>
    <mergeCell ref="H38:H40"/>
    <mergeCell ref="N44:N46"/>
    <mergeCell ref="M41:M43"/>
    <mergeCell ref="N41:N43"/>
    <mergeCell ref="J44:J46"/>
    <mergeCell ref="I44:I46"/>
    <mergeCell ref="I35:I37"/>
    <mergeCell ref="J35:J37"/>
    <mergeCell ref="K41:K43"/>
    <mergeCell ref="L41:L43"/>
    <mergeCell ref="L38:L40"/>
    <mergeCell ref="K35:K37"/>
    <mergeCell ref="A38:A40"/>
    <mergeCell ref="E38:E40"/>
    <mergeCell ref="E41:E43"/>
    <mergeCell ref="J38:J40"/>
    <mergeCell ref="F41:F43"/>
    <mergeCell ref="G41:G43"/>
    <mergeCell ref="H41:H43"/>
    <mergeCell ref="J41:J43"/>
    <mergeCell ref="A44:A46"/>
    <mergeCell ref="E44:E46"/>
    <mergeCell ref="F9:F10"/>
    <mergeCell ref="A14:A16"/>
    <mergeCell ref="A11:A13"/>
    <mergeCell ref="A26:A28"/>
    <mergeCell ref="A17:A19"/>
    <mergeCell ref="E17:E19"/>
    <mergeCell ref="F17:F19"/>
    <mergeCell ref="A35:A37"/>
    <mergeCell ref="B51:D51"/>
    <mergeCell ref="E29:E31"/>
    <mergeCell ref="E32:E34"/>
    <mergeCell ref="F44:F46"/>
    <mergeCell ref="B50:E50"/>
    <mergeCell ref="A48:D48"/>
    <mergeCell ref="F38:F40"/>
    <mergeCell ref="A29:A31"/>
    <mergeCell ref="A32:A34"/>
    <mergeCell ref="A41:A43"/>
    <mergeCell ref="I11:I13"/>
    <mergeCell ref="I14:I16"/>
    <mergeCell ref="A6:N7"/>
    <mergeCell ref="A8:A10"/>
    <mergeCell ref="B8:D8"/>
    <mergeCell ref="E8:F8"/>
    <mergeCell ref="G8:N8"/>
    <mergeCell ref="D9:D10"/>
    <mergeCell ref="E9:E10"/>
    <mergeCell ref="K9:L9"/>
    <mergeCell ref="M9:N9"/>
    <mergeCell ref="J11:J13"/>
    <mergeCell ref="J14:J16"/>
    <mergeCell ref="B9:C10"/>
    <mergeCell ref="I9:J9"/>
    <mergeCell ref="E11:E13"/>
    <mergeCell ref="F11:F13"/>
    <mergeCell ref="E14:E16"/>
    <mergeCell ref="F14:F16"/>
    <mergeCell ref="G9:H9"/>
    <mergeCell ref="A23:A25"/>
    <mergeCell ref="A20:A22"/>
    <mergeCell ref="E20:E22"/>
    <mergeCell ref="F20:F22"/>
    <mergeCell ref="E23:E25"/>
    <mergeCell ref="F23:F25"/>
    <mergeCell ref="N32:N34"/>
    <mergeCell ref="N35:N37"/>
    <mergeCell ref="I17:I19"/>
    <mergeCell ref="J17:J19"/>
    <mergeCell ref="I20:I22"/>
    <mergeCell ref="J20:J22"/>
    <mergeCell ref="I23:I25"/>
    <mergeCell ref="I26:I28"/>
    <mergeCell ref="J23:J25"/>
    <mergeCell ref="J26:J28"/>
    <mergeCell ref="E26:E28"/>
    <mergeCell ref="F26:F28"/>
    <mergeCell ref="I29:I31"/>
    <mergeCell ref="J29:J31"/>
    <mergeCell ref="F29:F31"/>
    <mergeCell ref="E35:E37"/>
    <mergeCell ref="J32:J34"/>
    <mergeCell ref="G35:G37"/>
    <mergeCell ref="G32:G34"/>
    <mergeCell ref="F32:F34"/>
    <mergeCell ref="F35:F37"/>
    <mergeCell ref="H35:H37"/>
    <mergeCell ref="H32:H34"/>
    <mergeCell ref="I32:I34"/>
    <mergeCell ref="K44:K46"/>
    <mergeCell ref="L44:L46"/>
    <mergeCell ref="M44:M46"/>
    <mergeCell ref="K32:K34"/>
    <mergeCell ref="L32:L34"/>
    <mergeCell ref="K38:K40"/>
    <mergeCell ref="L35:L37"/>
    <mergeCell ref="M35:M37"/>
    <mergeCell ref="M38:M40"/>
    <mergeCell ref="M32:M34"/>
  </mergeCells>
  <printOptions/>
  <pageMargins left="0.21" right="0.2" top="0.37" bottom="0.39" header="0.5" footer="0.3"/>
  <pageSetup horizontalDpi="600" verticalDpi="600" orientation="landscape" paperSize="9" r:id="rId1"/>
  <headerFooter alignWithMargins="0">
    <oddFooter>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N43"/>
  <sheetViews>
    <sheetView zoomScalePageLayoutView="0" workbookViewId="0" topLeftCell="A7">
      <selection activeCell="C33" sqref="C33"/>
    </sheetView>
  </sheetViews>
  <sheetFormatPr defaultColWidth="9.140625" defaultRowHeight="12.75"/>
  <cols>
    <col min="1" max="1" width="16.8515625" style="0" customWidth="1"/>
    <col min="2" max="2" width="8.00390625" style="0" customWidth="1"/>
    <col min="3" max="3" width="12.57421875" style="0" customWidth="1"/>
    <col min="4" max="4" width="8.00390625" style="0" customWidth="1"/>
    <col min="5" max="5" width="13.00390625" style="0" customWidth="1"/>
    <col min="6" max="6" width="7.140625" style="0" customWidth="1"/>
    <col min="7" max="7" width="14.00390625" style="0" customWidth="1"/>
    <col min="8" max="8" width="12.421875" style="0" customWidth="1"/>
    <col min="9" max="9" width="11.57421875" style="0" customWidth="1"/>
    <col min="10" max="10" width="6.57421875" style="0" customWidth="1"/>
    <col min="11" max="11" width="12.28125" style="0" customWidth="1"/>
    <col min="12" max="12" width="5.421875" style="0" customWidth="1"/>
    <col min="13" max="13" width="11.7109375" style="0" customWidth="1"/>
    <col min="14" max="14" width="6.8515625" style="0" customWidth="1"/>
  </cols>
  <sheetData>
    <row r="1" spans="1:14" s="24" customFormat="1" ht="15">
      <c r="A1" s="19" t="s">
        <v>41</v>
      </c>
      <c r="B1" s="17" t="s">
        <v>45</v>
      </c>
      <c r="C1" s="17"/>
      <c r="D1" s="17"/>
      <c r="E1" s="17"/>
      <c r="F1" s="17">
        <v>50608</v>
      </c>
      <c r="G1" s="18"/>
      <c r="H1" s="18"/>
      <c r="I1" s="495" t="s">
        <v>29</v>
      </c>
      <c r="J1" s="495"/>
      <c r="K1" s="495"/>
      <c r="L1" s="18"/>
      <c r="M1" s="18"/>
      <c r="N1" s="18"/>
    </row>
    <row r="2" spans="1:14" s="24" customFormat="1" ht="15">
      <c r="A2" s="17" t="s">
        <v>1</v>
      </c>
      <c r="B2" s="17" t="s">
        <v>56</v>
      </c>
      <c r="C2" s="17"/>
      <c r="D2" s="17"/>
      <c r="E2" s="17"/>
      <c r="F2" s="17"/>
      <c r="G2" s="18"/>
      <c r="H2" s="18"/>
      <c r="I2" s="495" t="s">
        <v>2</v>
      </c>
      <c r="J2" s="495"/>
      <c r="K2" s="495"/>
      <c r="L2" s="18">
        <v>1</v>
      </c>
      <c r="M2" s="18"/>
      <c r="N2" s="18"/>
    </row>
    <row r="3" spans="1:14" s="24" customFormat="1" ht="15">
      <c r="A3" s="17" t="s">
        <v>0</v>
      </c>
      <c r="B3" s="17" t="s">
        <v>38</v>
      </c>
      <c r="C3" s="17"/>
      <c r="D3" s="17"/>
      <c r="E3" s="17"/>
      <c r="F3" s="17"/>
      <c r="G3" s="18"/>
      <c r="H3" s="18"/>
      <c r="I3" s="495" t="s">
        <v>3</v>
      </c>
      <c r="J3" s="495"/>
      <c r="K3" s="495"/>
      <c r="L3" s="18">
        <v>1</v>
      </c>
      <c r="M3" s="18"/>
      <c r="N3" s="18"/>
    </row>
    <row r="4" spans="1:14" s="24" customFormat="1" ht="15">
      <c r="A4" s="17" t="s">
        <v>4</v>
      </c>
      <c r="B4" s="17">
        <v>23</v>
      </c>
      <c r="C4" s="17"/>
      <c r="D4" s="17"/>
      <c r="E4" s="17"/>
      <c r="F4" s="17"/>
      <c r="G4" s="18"/>
      <c r="H4" s="18"/>
      <c r="I4" s="17" t="s">
        <v>31</v>
      </c>
      <c r="J4" s="17"/>
      <c r="K4" s="17"/>
      <c r="L4" s="18"/>
      <c r="M4" s="18"/>
      <c r="N4" s="18"/>
    </row>
    <row r="5" spans="1:14" ht="15" thickBot="1">
      <c r="A5" s="1"/>
      <c r="B5" s="1"/>
      <c r="C5" s="1"/>
      <c r="D5" s="1"/>
      <c r="E5" s="1"/>
      <c r="F5" s="1"/>
      <c r="G5" s="1"/>
      <c r="H5" s="1"/>
      <c r="I5" s="1"/>
      <c r="J5" s="1"/>
      <c r="K5" s="35"/>
      <c r="L5" s="35" t="s">
        <v>65</v>
      </c>
      <c r="M5" s="35"/>
      <c r="N5" s="1"/>
    </row>
    <row r="6" spans="1:14" ht="13.5" thickTop="1">
      <c r="A6" s="376" t="s">
        <v>5</v>
      </c>
      <c r="B6" s="377"/>
      <c r="C6" s="377"/>
      <c r="D6" s="377"/>
      <c r="E6" s="377"/>
      <c r="F6" s="377"/>
      <c r="G6" s="377"/>
      <c r="H6" s="377"/>
      <c r="I6" s="377"/>
      <c r="J6" s="377"/>
      <c r="K6" s="377"/>
      <c r="L6" s="377"/>
      <c r="M6" s="377"/>
      <c r="N6" s="378"/>
    </row>
    <row r="7" spans="1:14" ht="13.5" thickBot="1">
      <c r="A7" s="379"/>
      <c r="B7" s="380"/>
      <c r="C7" s="380"/>
      <c r="D7" s="380"/>
      <c r="E7" s="380"/>
      <c r="F7" s="380"/>
      <c r="G7" s="380"/>
      <c r="H7" s="380"/>
      <c r="I7" s="380"/>
      <c r="J7" s="380"/>
      <c r="K7" s="380"/>
      <c r="L7" s="380"/>
      <c r="M7" s="380"/>
      <c r="N7" s="381"/>
    </row>
    <row r="8" spans="1:14" ht="16.5" thickBot="1" thickTop="1">
      <c r="A8" s="369" t="s">
        <v>6</v>
      </c>
      <c r="B8" s="357" t="s">
        <v>7</v>
      </c>
      <c r="C8" s="361"/>
      <c r="D8" s="358"/>
      <c r="E8" s="357" t="s">
        <v>11</v>
      </c>
      <c r="F8" s="358"/>
      <c r="G8" s="382" t="s">
        <v>15</v>
      </c>
      <c r="H8" s="383"/>
      <c r="I8" s="383"/>
      <c r="J8" s="383"/>
      <c r="K8" s="383"/>
      <c r="L8" s="383"/>
      <c r="M8" s="383"/>
      <c r="N8" s="384"/>
    </row>
    <row r="9" spans="1:14" ht="13.5" thickTop="1">
      <c r="A9" s="370"/>
      <c r="B9" s="399" t="s">
        <v>8</v>
      </c>
      <c r="C9" s="372"/>
      <c r="D9" s="373" t="s">
        <v>9</v>
      </c>
      <c r="E9" s="466" t="s">
        <v>10</v>
      </c>
      <c r="F9" s="373" t="s">
        <v>9</v>
      </c>
      <c r="G9" s="375" t="s">
        <v>27</v>
      </c>
      <c r="H9" s="356"/>
      <c r="I9" s="375" t="s">
        <v>28</v>
      </c>
      <c r="J9" s="356"/>
      <c r="K9" s="375" t="s">
        <v>13</v>
      </c>
      <c r="L9" s="356"/>
      <c r="M9" s="375" t="s">
        <v>14</v>
      </c>
      <c r="N9" s="356"/>
    </row>
    <row r="10" spans="1:14" ht="15" thickBot="1">
      <c r="A10" s="371"/>
      <c r="B10" s="469"/>
      <c r="C10" s="394"/>
      <c r="D10" s="374"/>
      <c r="E10" s="467"/>
      <c r="F10" s="374"/>
      <c r="G10" s="11" t="s">
        <v>114</v>
      </c>
      <c r="H10" s="3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5.75" customHeight="1" thickTop="1">
      <c r="A11" s="494" t="s">
        <v>16</v>
      </c>
      <c r="B11" s="81" t="s">
        <v>94</v>
      </c>
      <c r="C11" s="199">
        <v>1091</v>
      </c>
      <c r="D11" s="200">
        <f>(5.66+2.789+0.437+0.015)*1.075*1.2</f>
        <v>11.482289999999999</v>
      </c>
      <c r="E11" s="466">
        <f>17</f>
        <v>17</v>
      </c>
      <c r="F11" s="373">
        <v>52.47</v>
      </c>
      <c r="G11" s="14">
        <v>300.41</v>
      </c>
      <c r="H11" s="7">
        <v>56.19</v>
      </c>
      <c r="I11" s="6"/>
      <c r="J11" s="7"/>
      <c r="K11" s="6"/>
      <c r="L11" s="7"/>
      <c r="M11" s="6"/>
      <c r="N11" s="7"/>
    </row>
    <row r="12" spans="1:14" ht="15" customHeight="1" thickBot="1">
      <c r="A12" s="471"/>
      <c r="B12" s="82" t="s">
        <v>113</v>
      </c>
      <c r="C12" s="202">
        <v>17.25</v>
      </c>
      <c r="D12" s="203">
        <f>49.291*1.075*1.2</f>
        <v>63.58538999999999</v>
      </c>
      <c r="E12" s="468"/>
      <c r="F12" s="364"/>
      <c r="G12" s="124">
        <v>15506</v>
      </c>
      <c r="H12" s="7">
        <v>6.91</v>
      </c>
      <c r="I12" s="6"/>
      <c r="J12" s="7"/>
      <c r="K12" s="6"/>
      <c r="L12" s="7"/>
      <c r="M12" s="6"/>
      <c r="N12" s="7"/>
    </row>
    <row r="13" spans="1:14" ht="15" customHeight="1">
      <c r="A13" s="454" t="s">
        <v>17</v>
      </c>
      <c r="B13" s="81" t="s">
        <v>94</v>
      </c>
      <c r="C13" s="168">
        <v>1087</v>
      </c>
      <c r="D13" s="200">
        <f>(5.66+3.049+0.437+0.015)*1.075*1.2</f>
        <v>11.817689999999999</v>
      </c>
      <c r="E13" s="472">
        <v>27</v>
      </c>
      <c r="F13" s="492">
        <v>52.47</v>
      </c>
      <c r="G13" s="14">
        <v>300.41</v>
      </c>
      <c r="H13" s="7">
        <v>56.19</v>
      </c>
      <c r="I13" s="9"/>
      <c r="J13" s="10"/>
      <c r="K13" s="9"/>
      <c r="L13" s="10"/>
      <c r="M13" s="9"/>
      <c r="N13" s="10"/>
    </row>
    <row r="14" spans="1:14" ht="13.5" thickBot="1">
      <c r="A14" s="471"/>
      <c r="B14" s="82" t="s">
        <v>113</v>
      </c>
      <c r="C14" s="90">
        <v>17.25</v>
      </c>
      <c r="D14" s="203">
        <f>49.863*1.075*1.2</f>
        <v>64.32327</v>
      </c>
      <c r="E14" s="468"/>
      <c r="F14" s="505"/>
      <c r="G14" s="124">
        <v>17222</v>
      </c>
      <c r="H14" s="7">
        <v>6.91</v>
      </c>
      <c r="I14" s="12"/>
      <c r="J14" s="13"/>
      <c r="K14" s="12"/>
      <c r="L14" s="13"/>
      <c r="M14" s="12"/>
      <c r="N14" s="13"/>
    </row>
    <row r="15" spans="1:14" ht="15" customHeight="1">
      <c r="A15" s="454" t="s">
        <v>18</v>
      </c>
      <c r="B15" s="81" t="s">
        <v>94</v>
      </c>
      <c r="C15" s="168">
        <v>1081</v>
      </c>
      <c r="D15" s="200">
        <f>(5.66+3.049+0.437+0.015)*1.075*1.2</f>
        <v>11.817689999999999</v>
      </c>
      <c r="E15" s="472">
        <v>28</v>
      </c>
      <c r="F15" s="492">
        <v>52.47</v>
      </c>
      <c r="G15" s="15">
        <v>300.41</v>
      </c>
      <c r="H15" s="10">
        <v>56.19</v>
      </c>
      <c r="I15" s="9"/>
      <c r="J15" s="10"/>
      <c r="K15" s="9"/>
      <c r="L15" s="10"/>
      <c r="M15" s="9"/>
      <c r="N15" s="10"/>
    </row>
    <row r="16" spans="1:14" ht="13.5" thickBot="1">
      <c r="A16" s="471"/>
      <c r="B16" s="82" t="s">
        <v>113</v>
      </c>
      <c r="C16" s="90">
        <v>17.25</v>
      </c>
      <c r="D16" s="203">
        <f>49.863*1.075*1.2</f>
        <v>64.32327</v>
      </c>
      <c r="E16" s="468"/>
      <c r="F16" s="505"/>
      <c r="G16" s="8">
        <v>14930</v>
      </c>
      <c r="H16" s="13">
        <v>6.91</v>
      </c>
      <c r="I16" s="12"/>
      <c r="J16" s="13"/>
      <c r="K16" s="12"/>
      <c r="L16" s="13"/>
      <c r="M16" s="12"/>
      <c r="N16" s="13"/>
    </row>
    <row r="17" spans="1:14" ht="12.75">
      <c r="A17" s="454" t="s">
        <v>19</v>
      </c>
      <c r="B17" s="81" t="s">
        <v>94</v>
      </c>
      <c r="C17" s="168">
        <v>1081</v>
      </c>
      <c r="D17" s="200">
        <f>(5.66+3.049+0.437+0.015)*1.075*1.2</f>
        <v>11.817689999999999</v>
      </c>
      <c r="E17" s="472">
        <v>29</v>
      </c>
      <c r="F17" s="492">
        <v>52.47</v>
      </c>
      <c r="G17" s="15">
        <v>300.41</v>
      </c>
      <c r="H17" s="10">
        <v>56.19</v>
      </c>
      <c r="I17" s="9"/>
      <c r="J17" s="10"/>
      <c r="K17" s="9"/>
      <c r="L17" s="10"/>
      <c r="M17" s="9"/>
      <c r="N17" s="10"/>
    </row>
    <row r="18" spans="1:14" ht="13.5" thickBot="1">
      <c r="A18" s="471"/>
      <c r="B18" s="82" t="s">
        <v>113</v>
      </c>
      <c r="C18" s="90">
        <v>17.25</v>
      </c>
      <c r="D18" s="203">
        <f>49.863*1.075*1.2</f>
        <v>64.32327</v>
      </c>
      <c r="E18" s="468"/>
      <c r="F18" s="505"/>
      <c r="G18" s="8">
        <v>13006</v>
      </c>
      <c r="H18" s="13">
        <v>6.91</v>
      </c>
      <c r="I18" s="12"/>
      <c r="J18" s="13"/>
      <c r="K18" s="12"/>
      <c r="L18" s="13"/>
      <c r="M18" s="12"/>
      <c r="N18" s="13"/>
    </row>
    <row r="19" spans="1:14" ht="12.75">
      <c r="A19" s="454" t="s">
        <v>20</v>
      </c>
      <c r="B19" s="81" t="s">
        <v>94</v>
      </c>
      <c r="C19" s="168">
        <v>1397</v>
      </c>
      <c r="D19" s="200">
        <f>(5.66+3.049+0.437+0.015)*1.075*1.2</f>
        <v>11.817689999999999</v>
      </c>
      <c r="E19" s="472">
        <v>28</v>
      </c>
      <c r="F19" s="492">
        <v>52.47</v>
      </c>
      <c r="G19" s="15">
        <v>300.41</v>
      </c>
      <c r="H19" s="10">
        <v>56.19</v>
      </c>
      <c r="I19" s="9"/>
      <c r="J19" s="10"/>
      <c r="K19" s="9"/>
      <c r="L19" s="10"/>
      <c r="M19" s="9"/>
      <c r="N19" s="10"/>
    </row>
    <row r="20" spans="1:14" ht="13.5" thickBot="1">
      <c r="A20" s="471"/>
      <c r="B20" s="82" t="s">
        <v>113</v>
      </c>
      <c r="C20" s="90">
        <v>17.25</v>
      </c>
      <c r="D20" s="203">
        <f>49.863*1.075*1.2</f>
        <v>64.32327</v>
      </c>
      <c r="E20" s="468"/>
      <c r="F20" s="505"/>
      <c r="G20" s="8">
        <v>0</v>
      </c>
      <c r="H20" s="13">
        <v>6.91</v>
      </c>
      <c r="I20" s="12"/>
      <c r="J20" s="13"/>
      <c r="K20" s="12"/>
      <c r="L20" s="13"/>
      <c r="M20" s="12"/>
      <c r="N20" s="13"/>
    </row>
    <row r="21" spans="1:14" ht="12.75">
      <c r="A21" s="454" t="s">
        <v>68</v>
      </c>
      <c r="B21" s="81" t="s">
        <v>94</v>
      </c>
      <c r="C21" s="168">
        <v>1174</v>
      </c>
      <c r="D21" s="200">
        <f>(5.66+3.049+0.437+0.015)*1.075*1.2</f>
        <v>11.817689999999999</v>
      </c>
      <c r="E21" s="472">
        <v>34</v>
      </c>
      <c r="F21" s="492">
        <v>52.47</v>
      </c>
      <c r="G21" s="15">
        <v>300.41</v>
      </c>
      <c r="H21" s="10">
        <v>56.19</v>
      </c>
      <c r="I21" s="9"/>
      <c r="J21" s="10"/>
      <c r="K21" s="9"/>
      <c r="L21" s="10"/>
      <c r="M21" s="9"/>
      <c r="N21" s="10"/>
    </row>
    <row r="22" spans="1:14" ht="13.5" thickBot="1">
      <c r="A22" s="471"/>
      <c r="B22" s="82" t="s">
        <v>113</v>
      </c>
      <c r="C22" s="90">
        <v>17.25</v>
      </c>
      <c r="D22" s="203">
        <f>49.863*1.075*1.2</f>
        <v>64.32327</v>
      </c>
      <c r="E22" s="468"/>
      <c r="F22" s="505"/>
      <c r="G22" s="8">
        <v>0</v>
      </c>
      <c r="H22" s="13">
        <v>6.91</v>
      </c>
      <c r="I22" s="12"/>
      <c r="J22" s="13"/>
      <c r="K22" s="12"/>
      <c r="L22" s="13"/>
      <c r="M22" s="12"/>
      <c r="N22" s="13"/>
    </row>
    <row r="23" spans="1:14" ht="12.75">
      <c r="A23" s="454" t="s">
        <v>69</v>
      </c>
      <c r="B23" s="81" t="s">
        <v>94</v>
      </c>
      <c r="C23" s="168">
        <v>1030</v>
      </c>
      <c r="D23" s="200">
        <f>(5.66+3.049+0.437+0.015)*1.075*1.2</f>
        <v>11.817689999999999</v>
      </c>
      <c r="E23" s="472">
        <v>39</v>
      </c>
      <c r="F23" s="492">
        <v>52.47</v>
      </c>
      <c r="G23" s="15">
        <v>300.41</v>
      </c>
      <c r="H23" s="10">
        <v>56.19</v>
      </c>
      <c r="I23" s="9"/>
      <c r="J23" s="10"/>
      <c r="K23" s="9"/>
      <c r="L23" s="10"/>
      <c r="M23" s="9"/>
      <c r="N23" s="10"/>
    </row>
    <row r="24" spans="1:14" ht="13.5" thickBot="1">
      <c r="A24" s="471"/>
      <c r="B24" s="82" t="s">
        <v>113</v>
      </c>
      <c r="C24" s="90">
        <v>17.25</v>
      </c>
      <c r="D24" s="203">
        <f>49.863*1.075*1.2</f>
        <v>64.32327</v>
      </c>
      <c r="E24" s="468"/>
      <c r="F24" s="505"/>
      <c r="G24" s="8">
        <v>0</v>
      </c>
      <c r="H24" s="13">
        <v>6.91</v>
      </c>
      <c r="I24" s="12"/>
      <c r="J24" s="13"/>
      <c r="K24" s="12"/>
      <c r="L24" s="13"/>
      <c r="M24" s="12"/>
      <c r="N24" s="13"/>
    </row>
    <row r="25" spans="1:14" ht="12.75">
      <c r="A25" s="454" t="s">
        <v>22</v>
      </c>
      <c r="B25" s="81" t="s">
        <v>94</v>
      </c>
      <c r="C25" s="168">
        <v>909</v>
      </c>
      <c r="D25" s="200">
        <f>(5.66+3.049+0.437+0.015)*1.075*1.2</f>
        <v>11.817689999999999</v>
      </c>
      <c r="E25" s="472">
        <v>30</v>
      </c>
      <c r="F25" s="492">
        <v>52.47</v>
      </c>
      <c r="G25" s="15">
        <v>300.41</v>
      </c>
      <c r="H25" s="10">
        <v>56.19</v>
      </c>
      <c r="I25" s="12"/>
      <c r="J25" s="13"/>
      <c r="K25" s="12"/>
      <c r="L25" s="13"/>
      <c r="M25" s="12"/>
      <c r="N25" s="13"/>
    </row>
    <row r="26" spans="1:14" ht="13.5" thickBot="1">
      <c r="A26" s="471"/>
      <c r="B26" s="82" t="s">
        <v>113</v>
      </c>
      <c r="C26" s="90">
        <v>17.25</v>
      </c>
      <c r="D26" s="203">
        <f>49.863*1.075*1.2</f>
        <v>64.32327</v>
      </c>
      <c r="E26" s="468"/>
      <c r="F26" s="505"/>
      <c r="G26" s="8">
        <v>0</v>
      </c>
      <c r="H26" s="13">
        <v>6.91</v>
      </c>
      <c r="I26" s="4"/>
      <c r="J26" s="5"/>
      <c r="K26" s="4"/>
      <c r="L26" s="5"/>
      <c r="M26" s="4"/>
      <c r="N26" s="5"/>
    </row>
    <row r="27" spans="1:14" ht="12.75">
      <c r="A27" s="454" t="s">
        <v>23</v>
      </c>
      <c r="B27" s="81" t="s">
        <v>94</v>
      </c>
      <c r="C27" s="168">
        <v>1123</v>
      </c>
      <c r="D27" s="200">
        <f>(8.73+3.049+0.437+0.015)*1.075*1.2</f>
        <v>15.777989999999999</v>
      </c>
      <c r="E27" s="472">
        <v>43</v>
      </c>
      <c r="F27" s="492">
        <v>58.17</v>
      </c>
      <c r="G27" s="15">
        <v>300.41</v>
      </c>
      <c r="H27" s="10">
        <v>56.19</v>
      </c>
      <c r="I27" s="4"/>
      <c r="J27" s="5"/>
      <c r="K27" s="4"/>
      <c r="L27" s="5"/>
      <c r="M27" s="4"/>
      <c r="N27" s="5"/>
    </row>
    <row r="28" spans="1:14" ht="13.5" thickBot="1">
      <c r="A28" s="471"/>
      <c r="B28" s="82" t="s">
        <v>113</v>
      </c>
      <c r="C28" s="90">
        <v>17.25</v>
      </c>
      <c r="D28" s="203">
        <f>49.863*1.075*1.2</f>
        <v>64.32327</v>
      </c>
      <c r="E28" s="468"/>
      <c r="F28" s="505"/>
      <c r="G28" s="8">
        <v>0</v>
      </c>
      <c r="H28" s="13">
        <v>6.91</v>
      </c>
      <c r="I28" s="4"/>
      <c r="J28" s="5"/>
      <c r="K28" s="4"/>
      <c r="L28" s="5"/>
      <c r="M28" s="4"/>
      <c r="N28" s="5"/>
    </row>
    <row r="29" spans="1:14" ht="12.75">
      <c r="A29" s="454" t="s">
        <v>24</v>
      </c>
      <c r="B29" s="81" t="s">
        <v>94</v>
      </c>
      <c r="C29" s="168">
        <v>1121</v>
      </c>
      <c r="D29" s="200">
        <f>(8.73+3.394+0.437+0.015)*1.075*1.2</f>
        <v>16.223039999999997</v>
      </c>
      <c r="E29" s="472">
        <v>40</v>
      </c>
      <c r="F29" s="492">
        <v>58.17</v>
      </c>
      <c r="G29" s="15">
        <v>300.41</v>
      </c>
      <c r="H29" s="10">
        <v>56.19</v>
      </c>
      <c r="I29" s="4"/>
      <c r="J29" s="5"/>
      <c r="K29" s="4"/>
      <c r="L29" s="5"/>
      <c r="M29" s="4"/>
      <c r="N29" s="5"/>
    </row>
    <row r="30" spans="1:14" ht="13.5" thickBot="1">
      <c r="A30" s="471"/>
      <c r="B30" s="82" t="s">
        <v>113</v>
      </c>
      <c r="C30" s="90">
        <v>17.25</v>
      </c>
      <c r="D30" s="203">
        <f>54.258*1.075*1.2</f>
        <v>69.99282</v>
      </c>
      <c r="E30" s="468"/>
      <c r="F30" s="505"/>
      <c r="G30" s="8">
        <v>7813</v>
      </c>
      <c r="H30" s="13">
        <v>6.91</v>
      </c>
      <c r="I30" s="4"/>
      <c r="J30" s="5"/>
      <c r="K30" s="4"/>
      <c r="L30" s="5"/>
      <c r="M30" s="4"/>
      <c r="N30" s="5"/>
    </row>
    <row r="31" spans="1:14" ht="12.75">
      <c r="A31" s="454" t="s">
        <v>25</v>
      </c>
      <c r="B31" s="81" t="s">
        <v>94</v>
      </c>
      <c r="C31" s="168">
        <v>1262</v>
      </c>
      <c r="D31" s="200">
        <f>(8.73+3.394+0.437+0.015)*1.075*1.2</f>
        <v>16.223039999999997</v>
      </c>
      <c r="E31" s="472">
        <v>16</v>
      </c>
      <c r="F31" s="492">
        <v>58.17</v>
      </c>
      <c r="G31" s="15">
        <v>300.41</v>
      </c>
      <c r="H31" s="10">
        <v>56.19</v>
      </c>
      <c r="I31" s="4"/>
      <c r="J31" s="5"/>
      <c r="K31" s="4"/>
      <c r="L31" s="5"/>
      <c r="M31" s="4"/>
      <c r="N31" s="5"/>
    </row>
    <row r="32" spans="1:14" ht="13.5" thickBot="1">
      <c r="A32" s="471"/>
      <c r="B32" s="82" t="s">
        <v>113</v>
      </c>
      <c r="C32" s="90">
        <v>17.25</v>
      </c>
      <c r="D32" s="203">
        <f>54.258*1.075*1.2</f>
        <v>69.99282</v>
      </c>
      <c r="E32" s="468"/>
      <c r="F32" s="505"/>
      <c r="G32" s="8">
        <v>11083</v>
      </c>
      <c r="H32" s="13">
        <v>6.91</v>
      </c>
      <c r="I32" s="4"/>
      <c r="J32" s="5"/>
      <c r="K32" s="4"/>
      <c r="L32" s="5"/>
      <c r="M32" s="4"/>
      <c r="N32" s="5"/>
    </row>
    <row r="33" spans="1:14" ht="12.75">
      <c r="A33" s="454" t="s">
        <v>26</v>
      </c>
      <c r="B33" s="81" t="s">
        <v>94</v>
      </c>
      <c r="C33" s="168"/>
      <c r="D33" s="181"/>
      <c r="E33" s="472"/>
      <c r="F33" s="492"/>
      <c r="G33" s="15"/>
      <c r="H33" s="10"/>
      <c r="I33" s="9"/>
      <c r="J33" s="10"/>
      <c r="K33" s="9"/>
      <c r="L33" s="10"/>
      <c r="M33" s="9"/>
      <c r="N33" s="10"/>
    </row>
    <row r="34" spans="1:14" ht="13.5" thickBot="1">
      <c r="A34" s="504"/>
      <c r="B34" s="82" t="s">
        <v>113</v>
      </c>
      <c r="C34" s="90"/>
      <c r="D34" s="184"/>
      <c r="E34" s="467"/>
      <c r="F34" s="558"/>
      <c r="G34" s="8"/>
      <c r="H34" s="13"/>
      <c r="I34" s="2"/>
      <c r="J34" s="3"/>
      <c r="K34" s="2"/>
      <c r="L34" s="3"/>
      <c r="M34" s="2"/>
      <c r="N34" s="3"/>
    </row>
    <row r="35" spans="1:14" ht="13.5" thickTop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s="27" customFormat="1" ht="12.75">
      <c r="A36" s="403" t="s">
        <v>32</v>
      </c>
      <c r="B36" s="403"/>
      <c r="C36" s="403"/>
      <c r="D36" s="404"/>
      <c r="E36" s="23"/>
      <c r="F36" s="23"/>
      <c r="G36" s="23"/>
      <c r="H36" s="23"/>
      <c r="I36" s="23"/>
      <c r="J36" s="23"/>
      <c r="K36" s="23"/>
      <c r="L36" s="23"/>
      <c r="M36" s="23"/>
      <c r="N36" s="23"/>
    </row>
    <row r="37" spans="1:14" s="27" customFormat="1" ht="12.75">
      <c r="A37" s="23"/>
      <c r="B37" s="22" t="s">
        <v>33</v>
      </c>
      <c r="C37" s="22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</row>
    <row r="38" spans="1:14" s="27" customFormat="1" ht="12.75">
      <c r="A38" s="23"/>
      <c r="B38" s="403" t="s">
        <v>35</v>
      </c>
      <c r="C38" s="403"/>
      <c r="D38" s="403"/>
      <c r="E38" s="404"/>
      <c r="F38" s="23"/>
      <c r="G38" s="23"/>
      <c r="H38" s="23"/>
      <c r="I38" s="23"/>
      <c r="J38" s="23"/>
      <c r="K38" s="23"/>
      <c r="L38" s="23"/>
      <c r="M38" s="23"/>
      <c r="N38" s="23"/>
    </row>
    <row r="39" spans="1:14" s="27" customFormat="1" ht="12.75">
      <c r="A39" s="23"/>
      <c r="B39" s="403" t="s">
        <v>34</v>
      </c>
      <c r="C39" s="403"/>
      <c r="D39" s="403"/>
      <c r="E39" s="23"/>
      <c r="F39" s="23"/>
      <c r="G39" s="23"/>
      <c r="H39" s="23"/>
      <c r="I39" s="23"/>
      <c r="J39" s="23"/>
      <c r="K39" s="23"/>
      <c r="L39" s="23"/>
      <c r="M39" s="23"/>
      <c r="N39" s="23"/>
    </row>
    <row r="40" spans="1:14" s="27" customFormat="1" ht="12.75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</row>
    <row r="41" spans="1:8" ht="14.25">
      <c r="A41" s="20"/>
      <c r="B41" s="20"/>
      <c r="C41" s="20"/>
      <c r="D41" s="20"/>
      <c r="E41" s="20"/>
      <c r="F41" s="20"/>
      <c r="G41" s="20"/>
      <c r="H41" s="20"/>
    </row>
    <row r="42" spans="1:8" ht="14.25">
      <c r="A42" s="20"/>
      <c r="B42" s="20"/>
      <c r="C42" s="20"/>
      <c r="D42" s="20"/>
      <c r="E42" s="20"/>
      <c r="F42" s="20"/>
      <c r="G42" s="20"/>
      <c r="H42" s="20"/>
    </row>
    <row r="43" spans="1:8" ht="14.25">
      <c r="A43" s="20"/>
      <c r="B43" s="20"/>
      <c r="C43" s="20"/>
      <c r="D43" s="20"/>
      <c r="E43" s="20"/>
      <c r="F43" s="20"/>
      <c r="G43" s="20"/>
      <c r="H43" s="20"/>
    </row>
  </sheetData>
  <sheetProtection/>
  <mergeCells count="55">
    <mergeCell ref="F27:F28"/>
    <mergeCell ref="A23:A24"/>
    <mergeCell ref="A21:A22"/>
    <mergeCell ref="E21:E22"/>
    <mergeCell ref="F21:F22"/>
    <mergeCell ref="F25:F26"/>
    <mergeCell ref="E27:E28"/>
    <mergeCell ref="A25:A26"/>
    <mergeCell ref="E25:E26"/>
    <mergeCell ref="E23:E24"/>
    <mergeCell ref="F33:F34"/>
    <mergeCell ref="A31:A32"/>
    <mergeCell ref="A29:A30"/>
    <mergeCell ref="E29:E30"/>
    <mergeCell ref="F29:F30"/>
    <mergeCell ref="E31:E32"/>
    <mergeCell ref="F31:F32"/>
    <mergeCell ref="F23:F24"/>
    <mergeCell ref="A15:A16"/>
    <mergeCell ref="E15:E16"/>
    <mergeCell ref="A19:A20"/>
    <mergeCell ref="E19:E20"/>
    <mergeCell ref="E17:E18"/>
    <mergeCell ref="A17:A18"/>
    <mergeCell ref="B39:D39"/>
    <mergeCell ref="A11:A12"/>
    <mergeCell ref="A13:A14"/>
    <mergeCell ref="B38:E38"/>
    <mergeCell ref="A33:A34"/>
    <mergeCell ref="E33:E34"/>
    <mergeCell ref="A27:A28"/>
    <mergeCell ref="E9:E10"/>
    <mergeCell ref="F9:F10"/>
    <mergeCell ref="G9:H9"/>
    <mergeCell ref="F19:F20"/>
    <mergeCell ref="F13:F14"/>
    <mergeCell ref="E13:E14"/>
    <mergeCell ref="F11:F12"/>
    <mergeCell ref="F15:F16"/>
    <mergeCell ref="F17:F18"/>
    <mergeCell ref="B9:C10"/>
    <mergeCell ref="M9:N9"/>
    <mergeCell ref="A36:D36"/>
    <mergeCell ref="A6:N7"/>
    <mergeCell ref="A8:A10"/>
    <mergeCell ref="B8:D8"/>
    <mergeCell ref="E8:F8"/>
    <mergeCell ref="G8:N8"/>
    <mergeCell ref="D9:D10"/>
    <mergeCell ref="E11:E12"/>
    <mergeCell ref="I1:K1"/>
    <mergeCell ref="I2:K2"/>
    <mergeCell ref="I3:K3"/>
    <mergeCell ref="K9:L9"/>
    <mergeCell ref="I9:J9"/>
  </mergeCells>
  <printOptions/>
  <pageMargins left="0.2" right="0.2" top="0.41" bottom="0.5" header="0.5" footer="0.29"/>
  <pageSetup horizontalDpi="600" verticalDpi="600" orientation="landscape" paperSize="9" r:id="rId1"/>
  <headerFooter alignWithMargins="0">
    <oddFooter>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S68"/>
  <sheetViews>
    <sheetView zoomScalePageLayoutView="0" workbookViewId="0" topLeftCell="A37">
      <selection activeCell="E55" sqref="E55:E58"/>
    </sheetView>
  </sheetViews>
  <sheetFormatPr defaultColWidth="9.140625" defaultRowHeight="12.75"/>
  <cols>
    <col min="1" max="1" width="20.00390625" style="0" customWidth="1"/>
    <col min="2" max="2" width="8.00390625" style="0" customWidth="1"/>
    <col min="3" max="3" width="12.00390625" style="0" customWidth="1"/>
    <col min="4" max="4" width="6.57421875" style="0" customWidth="1"/>
    <col min="5" max="5" width="12.421875" style="0" customWidth="1"/>
    <col min="6" max="6" width="5.7109375" style="0" customWidth="1"/>
    <col min="7" max="7" width="12.57421875" style="0" customWidth="1"/>
    <col min="8" max="8" width="9.7109375" style="0" customWidth="1"/>
    <col min="9" max="9" width="12.140625" style="0" customWidth="1"/>
    <col min="10" max="10" width="5.57421875" style="0" customWidth="1"/>
    <col min="11" max="11" width="12.57421875" style="0" customWidth="1"/>
    <col min="12" max="12" width="6.140625" style="0" customWidth="1"/>
    <col min="13" max="13" width="11.57421875" style="0" customWidth="1"/>
    <col min="14" max="14" width="7.421875" style="0" customWidth="1"/>
  </cols>
  <sheetData>
    <row r="1" spans="1:14" s="24" customFormat="1" ht="15">
      <c r="A1" s="19" t="s">
        <v>41</v>
      </c>
      <c r="B1" s="17" t="s">
        <v>39</v>
      </c>
      <c r="C1" s="17"/>
      <c r="E1" s="18">
        <v>50735</v>
      </c>
      <c r="F1" s="18"/>
      <c r="G1" s="18"/>
      <c r="H1" s="18"/>
      <c r="I1" s="495" t="s">
        <v>29</v>
      </c>
      <c r="J1" s="495"/>
      <c r="K1" s="495"/>
      <c r="L1" s="28">
        <v>1035</v>
      </c>
      <c r="M1" s="18"/>
      <c r="N1" s="18"/>
    </row>
    <row r="2" spans="1:14" s="24" customFormat="1" ht="15">
      <c r="A2" s="17" t="s">
        <v>1</v>
      </c>
      <c r="B2" s="33" t="s">
        <v>116</v>
      </c>
      <c r="C2" s="17"/>
      <c r="D2" s="18"/>
      <c r="E2" s="18">
        <v>51975</v>
      </c>
      <c r="F2" s="18"/>
      <c r="G2" s="18"/>
      <c r="H2" s="18"/>
      <c r="I2" s="495" t="s">
        <v>2</v>
      </c>
      <c r="J2" s="495"/>
      <c r="K2" s="495"/>
      <c r="L2" s="18" t="s">
        <v>49</v>
      </c>
      <c r="M2" s="18"/>
      <c r="N2" s="18"/>
    </row>
    <row r="3" spans="1:14" s="24" customFormat="1" ht="15">
      <c r="A3" s="17" t="s">
        <v>0</v>
      </c>
      <c r="B3" s="17" t="s">
        <v>38</v>
      </c>
      <c r="C3" s="17"/>
      <c r="D3" s="18"/>
      <c r="E3" s="18"/>
      <c r="F3" s="18"/>
      <c r="G3" s="18"/>
      <c r="H3" s="18"/>
      <c r="I3" s="495" t="s">
        <v>3</v>
      </c>
      <c r="J3" s="495"/>
      <c r="K3" s="495"/>
      <c r="L3" s="18">
        <v>5</v>
      </c>
      <c r="M3" s="18"/>
      <c r="N3" s="18"/>
    </row>
    <row r="4" spans="1:14" s="24" customFormat="1" ht="15">
      <c r="A4" s="17" t="s">
        <v>4</v>
      </c>
      <c r="B4" s="18" t="s">
        <v>49</v>
      </c>
      <c r="C4" s="18"/>
      <c r="D4" s="18"/>
      <c r="E4" s="18"/>
      <c r="F4" s="18"/>
      <c r="G4" s="18"/>
      <c r="H4" s="18"/>
      <c r="I4" s="17" t="s">
        <v>31</v>
      </c>
      <c r="J4" s="17"/>
      <c r="K4" s="17"/>
      <c r="L4" s="18" t="s">
        <v>61</v>
      </c>
      <c r="M4" s="18"/>
      <c r="N4" s="18"/>
    </row>
    <row r="5" spans="1:14" ht="15" thickBot="1">
      <c r="A5" s="1"/>
      <c r="B5" s="1"/>
      <c r="C5" s="1"/>
      <c r="D5" s="1"/>
      <c r="E5" s="1"/>
      <c r="F5" s="1"/>
      <c r="G5" s="1"/>
      <c r="H5" s="1"/>
      <c r="I5" s="1"/>
      <c r="J5" s="1"/>
      <c r="K5" s="35"/>
      <c r="L5" s="35" t="s">
        <v>65</v>
      </c>
      <c r="M5" s="35"/>
      <c r="N5" s="1"/>
    </row>
    <row r="6" spans="1:14" ht="13.5" thickTop="1">
      <c r="A6" s="376" t="s">
        <v>5</v>
      </c>
      <c r="B6" s="377"/>
      <c r="C6" s="377"/>
      <c r="D6" s="377"/>
      <c r="E6" s="377"/>
      <c r="F6" s="377"/>
      <c r="G6" s="377"/>
      <c r="H6" s="377"/>
      <c r="I6" s="377"/>
      <c r="J6" s="377"/>
      <c r="K6" s="377"/>
      <c r="L6" s="377"/>
      <c r="M6" s="377"/>
      <c r="N6" s="378"/>
    </row>
    <row r="7" spans="1:14" ht="13.5" thickBot="1">
      <c r="A7" s="379"/>
      <c r="B7" s="380"/>
      <c r="C7" s="380"/>
      <c r="D7" s="380"/>
      <c r="E7" s="380"/>
      <c r="F7" s="380"/>
      <c r="G7" s="380"/>
      <c r="H7" s="380"/>
      <c r="I7" s="380"/>
      <c r="J7" s="380"/>
      <c r="K7" s="380"/>
      <c r="L7" s="380"/>
      <c r="M7" s="380"/>
      <c r="N7" s="381"/>
    </row>
    <row r="8" spans="1:14" ht="16.5" thickBot="1" thickTop="1">
      <c r="A8" s="369" t="s">
        <v>6</v>
      </c>
      <c r="B8" s="357" t="s">
        <v>7</v>
      </c>
      <c r="C8" s="361"/>
      <c r="D8" s="358"/>
      <c r="E8" s="357" t="s">
        <v>11</v>
      </c>
      <c r="F8" s="358"/>
      <c r="G8" s="382" t="s">
        <v>15</v>
      </c>
      <c r="H8" s="383"/>
      <c r="I8" s="383"/>
      <c r="J8" s="383"/>
      <c r="K8" s="383"/>
      <c r="L8" s="383"/>
      <c r="M8" s="383"/>
      <c r="N8" s="384"/>
    </row>
    <row r="9" spans="1:14" ht="13.5" thickTop="1">
      <c r="A9" s="370"/>
      <c r="B9" s="399" t="s">
        <v>8</v>
      </c>
      <c r="C9" s="372"/>
      <c r="D9" s="373" t="s">
        <v>9</v>
      </c>
      <c r="E9" s="466" t="s">
        <v>10</v>
      </c>
      <c r="F9" s="373" t="s">
        <v>9</v>
      </c>
      <c r="G9" s="502" t="s">
        <v>27</v>
      </c>
      <c r="H9" s="503"/>
      <c r="I9" s="375" t="s">
        <v>28</v>
      </c>
      <c r="J9" s="356"/>
      <c r="K9" s="375" t="s">
        <v>13</v>
      </c>
      <c r="L9" s="356"/>
      <c r="M9" s="375" t="s">
        <v>14</v>
      </c>
      <c r="N9" s="356"/>
    </row>
    <row r="10" spans="1:14" ht="15" thickBot="1">
      <c r="A10" s="370"/>
      <c r="B10" s="401"/>
      <c r="C10" s="464"/>
      <c r="D10" s="478"/>
      <c r="E10" s="467"/>
      <c r="F10" s="374"/>
      <c r="G10" s="11" t="s">
        <v>114</v>
      </c>
      <c r="H10" s="3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6.5" customHeight="1" thickTop="1">
      <c r="A11" s="561" t="s">
        <v>16</v>
      </c>
      <c r="B11" s="112" t="s">
        <v>94</v>
      </c>
      <c r="C11" s="271">
        <v>16919</v>
      </c>
      <c r="D11" s="186">
        <f>(6.29+2.177+0.437+0.015)*1.075*1.2</f>
        <v>11.50551</v>
      </c>
      <c r="E11" s="372">
        <f>117+83</f>
        <v>200</v>
      </c>
      <c r="F11" s="373">
        <v>52.47</v>
      </c>
      <c r="G11" s="559">
        <v>764.5</v>
      </c>
      <c r="H11" s="373">
        <v>56.19</v>
      </c>
      <c r="I11" s="6"/>
      <c r="J11" s="7"/>
      <c r="K11" s="6"/>
      <c r="L11" s="7"/>
      <c r="M11" s="6"/>
      <c r="N11" s="7"/>
    </row>
    <row r="12" spans="1:14" ht="16.5" customHeight="1">
      <c r="A12" s="562"/>
      <c r="B12" s="113" t="s">
        <v>95</v>
      </c>
      <c r="C12" s="71">
        <v>6134</v>
      </c>
      <c r="D12" s="187">
        <f>(4.04+0.726+0.437+0.015)*1.075*1.2</f>
        <v>6.7312199999999995</v>
      </c>
      <c r="E12" s="464"/>
      <c r="F12" s="478"/>
      <c r="G12" s="474"/>
      <c r="H12" s="478"/>
      <c r="I12" s="6"/>
      <c r="J12" s="7"/>
      <c r="K12" s="6"/>
      <c r="L12" s="7"/>
      <c r="M12" s="6"/>
      <c r="N12" s="7"/>
    </row>
    <row r="13" spans="1:14" ht="16.5" customHeight="1">
      <c r="A13" s="562"/>
      <c r="B13" s="113" t="s">
        <v>113</v>
      </c>
      <c r="C13" s="71">
        <v>232</v>
      </c>
      <c r="D13" s="187">
        <f>157.732*1.075*1.2</f>
        <v>203.47427999999996</v>
      </c>
      <c r="E13" s="464"/>
      <c r="F13" s="478"/>
      <c r="G13" s="482">
        <v>14450</v>
      </c>
      <c r="H13" s="478">
        <v>6.91</v>
      </c>
      <c r="I13" s="6"/>
      <c r="J13" s="7"/>
      <c r="K13" s="6"/>
      <c r="L13" s="7"/>
      <c r="M13" s="6"/>
      <c r="N13" s="7"/>
    </row>
    <row r="14" spans="1:14" ht="13.5" customHeight="1" thickBot="1">
      <c r="A14" s="563"/>
      <c r="B14" s="114" t="s">
        <v>112</v>
      </c>
      <c r="C14" s="122">
        <v>4475</v>
      </c>
      <c r="D14" s="121">
        <f>1.048*1.075*1.2</f>
        <v>1.35192</v>
      </c>
      <c r="E14" s="391"/>
      <c r="F14" s="364"/>
      <c r="G14" s="482"/>
      <c r="H14" s="478"/>
      <c r="I14" s="6"/>
      <c r="J14" s="7"/>
      <c r="K14" s="6"/>
      <c r="L14" s="7"/>
      <c r="M14" s="6"/>
      <c r="N14" s="7"/>
    </row>
    <row r="15" spans="1:14" ht="13.5" thickTop="1">
      <c r="A15" s="471" t="s">
        <v>17</v>
      </c>
      <c r="B15" s="113" t="s">
        <v>94</v>
      </c>
      <c r="C15" s="69">
        <v>17227</v>
      </c>
      <c r="D15" s="186">
        <f>(6.29+2.241+0.437+0.015)*1.075*1.2</f>
        <v>11.58807</v>
      </c>
      <c r="E15" s="472">
        <f>140+121</f>
        <v>261</v>
      </c>
      <c r="F15" s="388">
        <v>52.47</v>
      </c>
      <c r="G15" s="559">
        <v>764.5</v>
      </c>
      <c r="H15" s="373">
        <v>56.19</v>
      </c>
      <c r="I15" s="66"/>
      <c r="J15" s="10"/>
      <c r="K15" s="9"/>
      <c r="L15" s="10"/>
      <c r="M15" s="9"/>
      <c r="N15" s="10"/>
    </row>
    <row r="16" spans="1:14" ht="12.75">
      <c r="A16" s="457"/>
      <c r="B16" s="113" t="s">
        <v>95</v>
      </c>
      <c r="C16" s="69">
        <v>6236</v>
      </c>
      <c r="D16" s="187">
        <f>(4.04+0.747+0.437+0.015)*1.075*1.2</f>
        <v>6.75831</v>
      </c>
      <c r="E16" s="473"/>
      <c r="F16" s="515"/>
      <c r="G16" s="474"/>
      <c r="H16" s="478"/>
      <c r="I16" s="75"/>
      <c r="J16" s="7"/>
      <c r="K16" s="6"/>
      <c r="L16" s="7"/>
      <c r="M16" s="6"/>
      <c r="N16" s="7"/>
    </row>
    <row r="17" spans="1:14" ht="12.75">
      <c r="A17" s="457"/>
      <c r="B17" s="113" t="s">
        <v>113</v>
      </c>
      <c r="C17" s="69">
        <v>232</v>
      </c>
      <c r="D17" s="187">
        <f>159.562*1.075*1.2</f>
        <v>205.83498</v>
      </c>
      <c r="E17" s="473"/>
      <c r="F17" s="515"/>
      <c r="G17" s="482">
        <v>15400</v>
      </c>
      <c r="H17" s="478">
        <v>6.91</v>
      </c>
      <c r="I17" s="75"/>
      <c r="J17" s="7"/>
      <c r="K17" s="6"/>
      <c r="L17" s="7"/>
      <c r="M17" s="6"/>
      <c r="N17" s="7"/>
    </row>
    <row r="18" spans="1:14" ht="14.25" customHeight="1" thickBot="1">
      <c r="A18" s="457"/>
      <c r="B18" s="114" t="s">
        <v>112</v>
      </c>
      <c r="C18" s="122">
        <v>3833</v>
      </c>
      <c r="D18" s="121">
        <f>1.007*1.075*1.2</f>
        <v>1.2990299999999997</v>
      </c>
      <c r="E18" s="468"/>
      <c r="F18" s="389"/>
      <c r="G18" s="482"/>
      <c r="H18" s="478"/>
      <c r="I18" s="75"/>
      <c r="J18" s="7"/>
      <c r="K18" s="6"/>
      <c r="L18" s="7"/>
      <c r="M18" s="6"/>
      <c r="N18" s="7"/>
    </row>
    <row r="19" spans="1:14" ht="14.25" customHeight="1" thickTop="1">
      <c r="A19" s="457" t="s">
        <v>18</v>
      </c>
      <c r="B19" s="112" t="s">
        <v>94</v>
      </c>
      <c r="C19" s="123">
        <v>16790</v>
      </c>
      <c r="D19" s="186">
        <f>(6.29+2.241+0.437+0.015)*1.075*1.2</f>
        <v>11.58807</v>
      </c>
      <c r="E19" s="472">
        <f>163+151</f>
        <v>314</v>
      </c>
      <c r="F19" s="388">
        <v>52.47</v>
      </c>
      <c r="G19" s="559">
        <v>764.5</v>
      </c>
      <c r="H19" s="373">
        <v>56.19</v>
      </c>
      <c r="I19" s="66"/>
      <c r="J19" s="10"/>
      <c r="K19" s="9"/>
      <c r="L19" s="10"/>
      <c r="M19" s="9"/>
      <c r="N19" s="10"/>
    </row>
    <row r="20" spans="1:14" ht="14.25" customHeight="1">
      <c r="A20" s="457"/>
      <c r="B20" s="113" t="s">
        <v>95</v>
      </c>
      <c r="C20" s="69">
        <v>8108</v>
      </c>
      <c r="D20" s="187">
        <f>(4.04+0.747+0.437+0.015)*1.075*1.2</f>
        <v>6.75831</v>
      </c>
      <c r="E20" s="473"/>
      <c r="F20" s="515"/>
      <c r="G20" s="474"/>
      <c r="H20" s="478"/>
      <c r="I20" s="75"/>
      <c r="J20" s="7"/>
      <c r="K20" s="6"/>
      <c r="L20" s="7"/>
      <c r="M20" s="6"/>
      <c r="N20" s="7"/>
    </row>
    <row r="21" spans="1:14" ht="14.25" customHeight="1">
      <c r="A21" s="457"/>
      <c r="B21" s="113" t="s">
        <v>113</v>
      </c>
      <c r="C21" s="69">
        <v>232</v>
      </c>
      <c r="D21" s="187">
        <f>159.562*1.075*1.2</f>
        <v>205.83498</v>
      </c>
      <c r="E21" s="473"/>
      <c r="F21" s="515"/>
      <c r="G21" s="474">
        <v>14800</v>
      </c>
      <c r="H21" s="478">
        <v>6.91</v>
      </c>
      <c r="I21" s="75"/>
      <c r="J21" s="7"/>
      <c r="K21" s="6"/>
      <c r="L21" s="7"/>
      <c r="M21" s="6"/>
      <c r="N21" s="7"/>
    </row>
    <row r="22" spans="1:14" ht="13.5" thickBot="1">
      <c r="A22" s="457"/>
      <c r="B22" s="114" t="s">
        <v>112</v>
      </c>
      <c r="C22" s="122">
        <v>4052</v>
      </c>
      <c r="D22" s="121">
        <f>1.007*1.075*1.2</f>
        <v>1.2990299999999997</v>
      </c>
      <c r="E22" s="468"/>
      <c r="F22" s="389"/>
      <c r="G22" s="474"/>
      <c r="H22" s="478"/>
      <c r="I22" s="75"/>
      <c r="J22" s="7"/>
      <c r="K22" s="6"/>
      <c r="L22" s="7"/>
      <c r="M22" s="6"/>
      <c r="N22" s="7"/>
    </row>
    <row r="23" spans="1:19" ht="14.25" customHeight="1" thickTop="1">
      <c r="A23" s="457" t="s">
        <v>19</v>
      </c>
      <c r="B23" s="112" t="s">
        <v>94</v>
      </c>
      <c r="C23" s="123">
        <v>14040</v>
      </c>
      <c r="D23" s="186">
        <f>(6.29+2.241+0.437+0.015)*1.075*1.2</f>
        <v>11.58807</v>
      </c>
      <c r="E23" s="472">
        <f>133+116</f>
        <v>249</v>
      </c>
      <c r="F23" s="388">
        <v>52.47</v>
      </c>
      <c r="G23" s="559">
        <v>764.5</v>
      </c>
      <c r="H23" s="373">
        <v>56.19</v>
      </c>
      <c r="I23" s="108"/>
      <c r="J23" s="214"/>
      <c r="K23" s="9"/>
      <c r="L23" s="10"/>
      <c r="M23" s="9"/>
      <c r="N23" s="10"/>
      <c r="S23">
        <v>232</v>
      </c>
    </row>
    <row r="24" spans="1:19" ht="14.25" customHeight="1">
      <c r="A24" s="457"/>
      <c r="B24" s="113" t="s">
        <v>95</v>
      </c>
      <c r="C24" s="69">
        <v>7680</v>
      </c>
      <c r="D24" s="187">
        <f>(4.04+0.747+0.437+0.015)*1.075*1.2</f>
        <v>6.75831</v>
      </c>
      <c r="E24" s="473"/>
      <c r="F24" s="515"/>
      <c r="G24" s="474"/>
      <c r="H24" s="478"/>
      <c r="I24" s="212"/>
      <c r="J24" s="242"/>
      <c r="K24" s="6"/>
      <c r="L24" s="7"/>
      <c r="M24" s="6"/>
      <c r="N24" s="7"/>
      <c r="S24">
        <v>148.844</v>
      </c>
    </row>
    <row r="25" spans="1:14" ht="14.25" customHeight="1">
      <c r="A25" s="457"/>
      <c r="B25" s="113" t="s">
        <v>113</v>
      </c>
      <c r="C25" s="69">
        <v>232</v>
      </c>
      <c r="D25" s="187">
        <f>159.562*1.075*1.2</f>
        <v>205.83498</v>
      </c>
      <c r="E25" s="473"/>
      <c r="F25" s="515"/>
      <c r="G25" s="474">
        <v>12390</v>
      </c>
      <c r="H25" s="478">
        <v>6.91</v>
      </c>
      <c r="I25" s="212"/>
      <c r="J25" s="242"/>
      <c r="K25" s="6"/>
      <c r="L25" s="7"/>
      <c r="M25" s="6"/>
      <c r="N25" s="7"/>
    </row>
    <row r="26" spans="1:14" ht="13.5" thickBot="1">
      <c r="A26" s="457"/>
      <c r="B26" s="114" t="s">
        <v>112</v>
      </c>
      <c r="C26" s="122">
        <v>4080</v>
      </c>
      <c r="D26" s="121">
        <f>1.007*1.075*1.2</f>
        <v>1.2990299999999997</v>
      </c>
      <c r="E26" s="468"/>
      <c r="F26" s="389"/>
      <c r="G26" s="474"/>
      <c r="H26" s="478"/>
      <c r="I26" s="213"/>
      <c r="J26" s="242"/>
      <c r="K26" s="6"/>
      <c r="L26" s="7"/>
      <c r="M26" s="6"/>
      <c r="N26" s="7"/>
    </row>
    <row r="27" spans="1:14" ht="12.75" customHeight="1" thickTop="1">
      <c r="A27" s="454" t="s">
        <v>20</v>
      </c>
      <c r="B27" s="112" t="s">
        <v>94</v>
      </c>
      <c r="C27" s="123">
        <v>13440</v>
      </c>
      <c r="D27" s="186">
        <f>(6.29+2.241+0.437+0.015)*1.075*1.2</f>
        <v>11.58807</v>
      </c>
      <c r="E27" s="472">
        <f>155+109</f>
        <v>264</v>
      </c>
      <c r="F27" s="388">
        <v>52.47</v>
      </c>
      <c r="G27" s="559">
        <v>764.5</v>
      </c>
      <c r="H27" s="373">
        <v>56.19</v>
      </c>
      <c r="I27" s="75"/>
      <c r="J27" s="10"/>
      <c r="K27" s="9"/>
      <c r="L27" s="10"/>
      <c r="M27" s="9"/>
      <c r="N27" s="10"/>
    </row>
    <row r="28" spans="1:14" ht="12.75" customHeight="1">
      <c r="A28" s="455"/>
      <c r="B28" s="113" t="s">
        <v>95</v>
      </c>
      <c r="C28" s="69">
        <v>7080</v>
      </c>
      <c r="D28" s="187">
        <f>(4.04+0.747+0.437+0.015)*1.075*1.2</f>
        <v>6.75831</v>
      </c>
      <c r="E28" s="473"/>
      <c r="F28" s="515"/>
      <c r="G28" s="474"/>
      <c r="H28" s="478"/>
      <c r="I28" s="75"/>
      <c r="J28" s="7"/>
      <c r="K28" s="6"/>
      <c r="L28" s="7"/>
      <c r="M28" s="6"/>
      <c r="N28" s="7"/>
    </row>
    <row r="29" spans="1:14" ht="12.75" customHeight="1">
      <c r="A29" s="455"/>
      <c r="B29" s="113" t="s">
        <v>113</v>
      </c>
      <c r="C29" s="69">
        <v>232</v>
      </c>
      <c r="D29" s="187">
        <f>159.562*1.075*1.2</f>
        <v>205.83498</v>
      </c>
      <c r="E29" s="473"/>
      <c r="F29" s="515"/>
      <c r="G29" s="474">
        <v>0</v>
      </c>
      <c r="H29" s="478">
        <v>6.91</v>
      </c>
      <c r="I29" s="75"/>
      <c r="J29" s="7"/>
      <c r="K29" s="6"/>
      <c r="L29" s="7"/>
      <c r="M29" s="6"/>
      <c r="N29" s="7"/>
    </row>
    <row r="30" spans="1:14" ht="12.75" customHeight="1" thickBot="1">
      <c r="A30" s="455"/>
      <c r="B30" s="114" t="s">
        <v>112</v>
      </c>
      <c r="C30" s="122">
        <v>4740</v>
      </c>
      <c r="D30" s="121">
        <f>1.007*1.075*1.2</f>
        <v>1.2990299999999997</v>
      </c>
      <c r="E30" s="473"/>
      <c r="F30" s="515"/>
      <c r="G30" s="474"/>
      <c r="H30" s="478"/>
      <c r="I30" s="75"/>
      <c r="J30" s="7"/>
      <c r="K30" s="6"/>
      <c r="L30" s="7"/>
      <c r="M30" s="6"/>
      <c r="N30" s="7"/>
    </row>
    <row r="31" spans="1:14" ht="12.75" customHeight="1" thickTop="1">
      <c r="A31" s="454" t="s">
        <v>68</v>
      </c>
      <c r="B31" s="112" t="s">
        <v>94</v>
      </c>
      <c r="C31" s="123">
        <v>14520</v>
      </c>
      <c r="D31" s="186">
        <f>(6.29+2.241+0.437+0.015)*1.075*1.2</f>
        <v>11.58807</v>
      </c>
      <c r="E31" s="472">
        <f>212+151</f>
        <v>363</v>
      </c>
      <c r="F31" s="388">
        <v>52.47</v>
      </c>
      <c r="G31" s="559">
        <v>764.5</v>
      </c>
      <c r="H31" s="373">
        <v>56.19</v>
      </c>
      <c r="I31" s="66"/>
      <c r="J31" s="10"/>
      <c r="K31" s="9"/>
      <c r="L31" s="10"/>
      <c r="M31" s="9"/>
      <c r="N31" s="10"/>
    </row>
    <row r="32" spans="1:14" ht="12.75" customHeight="1">
      <c r="A32" s="455"/>
      <c r="B32" s="113" t="s">
        <v>95</v>
      </c>
      <c r="C32" s="69">
        <v>7020</v>
      </c>
      <c r="D32" s="187">
        <f>(4.04+0.747+0.437+0.015)*1.075*1.2</f>
        <v>6.75831</v>
      </c>
      <c r="E32" s="473"/>
      <c r="F32" s="515"/>
      <c r="G32" s="474"/>
      <c r="H32" s="478"/>
      <c r="I32" s="75"/>
      <c r="J32" s="7"/>
      <c r="K32" s="6"/>
      <c r="L32" s="7"/>
      <c r="M32" s="6"/>
      <c r="N32" s="7"/>
    </row>
    <row r="33" spans="1:14" ht="12.75" customHeight="1">
      <c r="A33" s="455"/>
      <c r="B33" s="113" t="s">
        <v>113</v>
      </c>
      <c r="C33" s="69">
        <v>232</v>
      </c>
      <c r="D33" s="187">
        <f>159.562*1.075*1.2</f>
        <v>205.83498</v>
      </c>
      <c r="E33" s="473"/>
      <c r="F33" s="515"/>
      <c r="G33" s="474">
        <v>0</v>
      </c>
      <c r="H33" s="478">
        <v>6.91</v>
      </c>
      <c r="I33" s="75"/>
      <c r="J33" s="7"/>
      <c r="K33" s="6"/>
      <c r="L33" s="7"/>
      <c r="M33" s="6"/>
      <c r="N33" s="7"/>
    </row>
    <row r="34" spans="1:14" ht="12.75" customHeight="1" thickBot="1">
      <c r="A34" s="455"/>
      <c r="B34" s="114" t="s">
        <v>112</v>
      </c>
      <c r="C34" s="122">
        <v>5820</v>
      </c>
      <c r="D34" s="121">
        <f>1.007*1.075*1.2</f>
        <v>1.2990299999999997</v>
      </c>
      <c r="E34" s="473"/>
      <c r="F34" s="515"/>
      <c r="G34" s="474"/>
      <c r="H34" s="478"/>
      <c r="I34" s="75"/>
      <c r="J34" s="7"/>
      <c r="K34" s="6"/>
      <c r="L34" s="7"/>
      <c r="M34" s="6"/>
      <c r="N34" s="7"/>
    </row>
    <row r="35" spans="1:14" ht="15" customHeight="1" thickTop="1">
      <c r="A35" s="454" t="s">
        <v>69</v>
      </c>
      <c r="B35" s="112" t="s">
        <v>94</v>
      </c>
      <c r="C35" s="123">
        <v>13680</v>
      </c>
      <c r="D35" s="186">
        <f>(6.29+2.241+0.437+0.015)*1.075*1.2</f>
        <v>11.58807</v>
      </c>
      <c r="E35" s="472">
        <f>161+106</f>
        <v>267</v>
      </c>
      <c r="F35" s="388">
        <v>52.47</v>
      </c>
      <c r="G35" s="559">
        <v>764.5</v>
      </c>
      <c r="H35" s="373">
        <v>56.19</v>
      </c>
      <c r="I35" s="66"/>
      <c r="J35" s="10"/>
      <c r="K35" s="9"/>
      <c r="L35" s="10"/>
      <c r="M35" s="9"/>
      <c r="N35" s="10"/>
    </row>
    <row r="36" spans="1:14" ht="15" customHeight="1">
      <c r="A36" s="455"/>
      <c r="B36" s="113" t="s">
        <v>95</v>
      </c>
      <c r="C36" s="69">
        <v>5760</v>
      </c>
      <c r="D36" s="187">
        <f>(4.04+0.747+0.437+0.015)*1.075*1.2</f>
        <v>6.75831</v>
      </c>
      <c r="E36" s="473"/>
      <c r="F36" s="515"/>
      <c r="G36" s="474"/>
      <c r="H36" s="478"/>
      <c r="I36" s="75"/>
      <c r="J36" s="7"/>
      <c r="K36" s="6"/>
      <c r="L36" s="7"/>
      <c r="M36" s="6"/>
      <c r="N36" s="7"/>
    </row>
    <row r="37" spans="1:14" ht="15" customHeight="1">
      <c r="A37" s="455"/>
      <c r="B37" s="113" t="s">
        <v>113</v>
      </c>
      <c r="C37" s="69">
        <v>232</v>
      </c>
      <c r="D37" s="187">
        <f>159.562*1.075*1.2</f>
        <v>205.83498</v>
      </c>
      <c r="E37" s="473"/>
      <c r="F37" s="515"/>
      <c r="G37" s="474">
        <v>0</v>
      </c>
      <c r="H37" s="478">
        <v>6.91</v>
      </c>
      <c r="I37" s="75"/>
      <c r="J37" s="7"/>
      <c r="K37" s="6"/>
      <c r="L37" s="7"/>
      <c r="M37" s="6"/>
      <c r="N37" s="7"/>
    </row>
    <row r="38" spans="1:14" ht="15" customHeight="1" thickBot="1">
      <c r="A38" s="471"/>
      <c r="B38" s="114" t="s">
        <v>112</v>
      </c>
      <c r="C38" s="122">
        <v>6390</v>
      </c>
      <c r="D38" s="121">
        <f>1.007*1.075*1.2</f>
        <v>1.2990299999999997</v>
      </c>
      <c r="E38" s="468"/>
      <c r="F38" s="389"/>
      <c r="G38" s="474"/>
      <c r="H38" s="478"/>
      <c r="I38" s="211"/>
      <c r="J38" s="13"/>
      <c r="K38" s="12"/>
      <c r="L38" s="13"/>
      <c r="M38" s="12"/>
      <c r="N38" s="13"/>
    </row>
    <row r="39" spans="1:14" ht="15" customHeight="1" thickTop="1">
      <c r="A39" s="454" t="s">
        <v>22</v>
      </c>
      <c r="B39" s="112" t="s">
        <v>94</v>
      </c>
      <c r="C39" s="123">
        <v>12120</v>
      </c>
      <c r="D39" s="186">
        <f>(6.29+2.241+0.437+0.015)*1.075*1.2</f>
        <v>11.58807</v>
      </c>
      <c r="E39" s="472">
        <f>174+124</f>
        <v>298</v>
      </c>
      <c r="F39" s="388">
        <v>52.47</v>
      </c>
      <c r="G39" s="559">
        <v>764.5</v>
      </c>
      <c r="H39" s="373">
        <v>56.19</v>
      </c>
      <c r="I39" s="211"/>
      <c r="J39" s="13"/>
      <c r="K39" s="12"/>
      <c r="L39" s="13"/>
      <c r="M39" s="12"/>
      <c r="N39" s="13"/>
    </row>
    <row r="40" spans="1:14" ht="15" customHeight="1">
      <c r="A40" s="455"/>
      <c r="B40" s="113" t="s">
        <v>95</v>
      </c>
      <c r="C40" s="69">
        <v>7560</v>
      </c>
      <c r="D40" s="187">
        <f>(4.04+0.747+0.437+0.015)*1.075*1.2</f>
        <v>6.75831</v>
      </c>
      <c r="E40" s="473"/>
      <c r="F40" s="515"/>
      <c r="G40" s="474"/>
      <c r="H40" s="478"/>
      <c r="I40" s="211"/>
      <c r="J40" s="13"/>
      <c r="K40" s="12"/>
      <c r="L40" s="13"/>
      <c r="M40" s="12"/>
      <c r="N40" s="13"/>
    </row>
    <row r="41" spans="1:14" ht="15" customHeight="1">
      <c r="A41" s="455"/>
      <c r="B41" s="113" t="s">
        <v>113</v>
      </c>
      <c r="C41" s="69">
        <v>232</v>
      </c>
      <c r="D41" s="187">
        <f>159.562*1.075*1.2</f>
        <v>205.83498</v>
      </c>
      <c r="E41" s="473"/>
      <c r="F41" s="515"/>
      <c r="G41" s="474">
        <v>0</v>
      </c>
      <c r="H41" s="478">
        <v>6.91</v>
      </c>
      <c r="I41" s="211"/>
      <c r="J41" s="13"/>
      <c r="K41" s="12"/>
      <c r="L41" s="13"/>
      <c r="M41" s="12"/>
      <c r="N41" s="13"/>
    </row>
    <row r="42" spans="1:14" ht="15" customHeight="1" thickBot="1">
      <c r="A42" s="471"/>
      <c r="B42" s="114" t="s">
        <v>112</v>
      </c>
      <c r="C42" s="122">
        <f>6469+851</f>
        <v>7320</v>
      </c>
      <c r="D42" s="121">
        <f>1.007*1.075*1.2</f>
        <v>1.2990299999999997</v>
      </c>
      <c r="E42" s="468"/>
      <c r="F42" s="389"/>
      <c r="G42" s="474"/>
      <c r="H42" s="478"/>
      <c r="I42" s="211"/>
      <c r="J42" s="13"/>
      <c r="K42" s="12"/>
      <c r="L42" s="13"/>
      <c r="M42" s="12"/>
      <c r="N42" s="13"/>
    </row>
    <row r="43" spans="1:14" ht="15" customHeight="1" thickTop="1">
      <c r="A43" s="454" t="s">
        <v>23</v>
      </c>
      <c r="B43" s="112" t="s">
        <v>94</v>
      </c>
      <c r="C43" s="123">
        <v>15660</v>
      </c>
      <c r="D43" s="186">
        <f>(9.7+2.241+0.437+0.015)*1.075*1.2</f>
        <v>15.986969999999998</v>
      </c>
      <c r="E43" s="472">
        <f>165+143</f>
        <v>308</v>
      </c>
      <c r="F43" s="388">
        <v>58.17</v>
      </c>
      <c r="G43" s="559">
        <v>764.5</v>
      </c>
      <c r="H43" s="373">
        <v>56.19</v>
      </c>
      <c r="I43" s="211"/>
      <c r="J43" s="13"/>
      <c r="K43" s="12"/>
      <c r="L43" s="13"/>
      <c r="M43" s="12"/>
      <c r="N43" s="13"/>
    </row>
    <row r="44" spans="1:14" ht="15" customHeight="1">
      <c r="A44" s="455"/>
      <c r="B44" s="113" t="s">
        <v>95</v>
      </c>
      <c r="C44" s="69">
        <v>7500</v>
      </c>
      <c r="D44" s="187">
        <f>(6.15+0.747+0.437+0.015)*1.075*1.2</f>
        <v>9.48021</v>
      </c>
      <c r="E44" s="473"/>
      <c r="F44" s="515"/>
      <c r="G44" s="474"/>
      <c r="H44" s="478"/>
      <c r="I44" s="211"/>
      <c r="J44" s="13"/>
      <c r="K44" s="12"/>
      <c r="L44" s="13"/>
      <c r="M44" s="12"/>
      <c r="N44" s="13"/>
    </row>
    <row r="45" spans="1:14" ht="15" customHeight="1">
      <c r="A45" s="455"/>
      <c r="B45" s="113" t="s">
        <v>113</v>
      </c>
      <c r="C45" s="69">
        <v>232</v>
      </c>
      <c r="D45" s="187">
        <f>159.562*1.075*1.2</f>
        <v>205.83498</v>
      </c>
      <c r="E45" s="473"/>
      <c r="F45" s="515"/>
      <c r="G45" s="474">
        <v>0</v>
      </c>
      <c r="H45" s="478">
        <v>6.91</v>
      </c>
      <c r="I45" s="211"/>
      <c r="J45" s="13"/>
      <c r="K45" s="12"/>
      <c r="L45" s="13"/>
      <c r="M45" s="12"/>
      <c r="N45" s="13"/>
    </row>
    <row r="46" spans="1:14" ht="13.5" thickBot="1">
      <c r="A46" s="471"/>
      <c r="B46" s="114" t="s">
        <v>112</v>
      </c>
      <c r="C46" s="122">
        <v>5580</v>
      </c>
      <c r="D46" s="121">
        <f>1.007*1.075*1.2</f>
        <v>1.2990299999999997</v>
      </c>
      <c r="E46" s="468"/>
      <c r="F46" s="389"/>
      <c r="G46" s="474"/>
      <c r="H46" s="478"/>
      <c r="I46" s="96"/>
      <c r="J46" s="5"/>
      <c r="K46" s="4"/>
      <c r="L46" s="5"/>
      <c r="M46" s="4"/>
      <c r="N46" s="5"/>
    </row>
    <row r="47" spans="1:14" ht="15" customHeight="1" thickTop="1">
      <c r="A47" s="560" t="s">
        <v>24</v>
      </c>
      <c r="B47" s="112" t="s">
        <v>94</v>
      </c>
      <c r="C47" s="254">
        <v>17280</v>
      </c>
      <c r="D47" s="186">
        <f>(9.7+2.473+0.437+0.015)*1.075*1.2</f>
        <v>16.286249999999995</v>
      </c>
      <c r="E47" s="390">
        <f>178+127</f>
        <v>305</v>
      </c>
      <c r="F47" s="388">
        <v>58.17</v>
      </c>
      <c r="G47" s="559">
        <v>764.5</v>
      </c>
      <c r="H47" s="373">
        <v>56.19</v>
      </c>
      <c r="I47" s="96"/>
      <c r="J47" s="5"/>
      <c r="K47" s="4"/>
      <c r="L47" s="5"/>
      <c r="M47" s="4"/>
      <c r="N47" s="5"/>
    </row>
    <row r="48" spans="1:14" ht="15" customHeight="1">
      <c r="A48" s="560"/>
      <c r="B48" s="113" t="s">
        <v>95</v>
      </c>
      <c r="C48" s="245">
        <v>7140</v>
      </c>
      <c r="D48" s="187">
        <f>(6.15+0.824+0.437+0.015)*1.075*1.2</f>
        <v>9.57954</v>
      </c>
      <c r="E48" s="464"/>
      <c r="F48" s="515"/>
      <c r="G48" s="474"/>
      <c r="H48" s="478"/>
      <c r="I48" s="96"/>
      <c r="J48" s="5"/>
      <c r="K48" s="4"/>
      <c r="L48" s="5"/>
      <c r="M48" s="4"/>
      <c r="N48" s="5"/>
    </row>
    <row r="49" spans="1:14" ht="15" customHeight="1">
      <c r="A49" s="560"/>
      <c r="B49" s="113" t="s">
        <v>113</v>
      </c>
      <c r="C49" s="245">
        <v>232</v>
      </c>
      <c r="D49" s="187">
        <f>173.626*1.075*1.2</f>
        <v>223.97754</v>
      </c>
      <c r="E49" s="464"/>
      <c r="F49" s="515"/>
      <c r="G49" s="474">
        <v>5540</v>
      </c>
      <c r="H49" s="478">
        <v>6.91</v>
      </c>
      <c r="I49" s="96"/>
      <c r="J49" s="5"/>
      <c r="K49" s="4"/>
      <c r="L49" s="5"/>
      <c r="M49" s="4"/>
      <c r="N49" s="5"/>
    </row>
    <row r="50" spans="1:14" ht="13.5" thickBot="1">
      <c r="A50" s="396"/>
      <c r="B50" s="114" t="s">
        <v>112</v>
      </c>
      <c r="C50" s="246">
        <v>5220</v>
      </c>
      <c r="D50" s="121">
        <f>1.13*1.075*1.2</f>
        <v>1.4576999999999998</v>
      </c>
      <c r="E50" s="391"/>
      <c r="F50" s="389"/>
      <c r="G50" s="474"/>
      <c r="H50" s="478"/>
      <c r="I50" s="96"/>
      <c r="J50" s="5"/>
      <c r="K50" s="4"/>
      <c r="L50" s="5"/>
      <c r="M50" s="4"/>
      <c r="N50" s="5"/>
    </row>
    <row r="51" spans="1:14" ht="13.5" thickTop="1">
      <c r="A51" s="392" t="s">
        <v>25</v>
      </c>
      <c r="B51" s="112" t="s">
        <v>94</v>
      </c>
      <c r="C51" s="244">
        <v>17400</v>
      </c>
      <c r="D51" s="186">
        <f>(9.7+2.473+0.437+0.015)*1.075*1.2</f>
        <v>16.286249999999995</v>
      </c>
      <c r="E51" s="390">
        <f>181+149</f>
        <v>330</v>
      </c>
      <c r="F51" s="388">
        <v>58.17</v>
      </c>
      <c r="G51" s="559">
        <v>764.5</v>
      </c>
      <c r="H51" s="373">
        <v>56.19</v>
      </c>
      <c r="I51" s="96"/>
      <c r="J51" s="5"/>
      <c r="K51" s="4"/>
      <c r="L51" s="5"/>
      <c r="M51" s="4"/>
      <c r="N51" s="5"/>
    </row>
    <row r="52" spans="1:14" ht="15" customHeight="1">
      <c r="A52" s="560"/>
      <c r="B52" s="113" t="s">
        <v>95</v>
      </c>
      <c r="C52" s="245">
        <v>6240</v>
      </c>
      <c r="D52" s="187">
        <f>(6.15+0.824+0.437+0.015)*1.075*1.2</f>
        <v>9.57954</v>
      </c>
      <c r="E52" s="464"/>
      <c r="F52" s="515"/>
      <c r="G52" s="474"/>
      <c r="H52" s="478"/>
      <c r="I52" s="96"/>
      <c r="J52" s="5"/>
      <c r="K52" s="4"/>
      <c r="L52" s="5"/>
      <c r="M52" s="4"/>
      <c r="N52" s="5"/>
    </row>
    <row r="53" spans="1:14" ht="15" customHeight="1">
      <c r="A53" s="560"/>
      <c r="B53" s="113" t="s">
        <v>113</v>
      </c>
      <c r="C53" s="212">
        <v>232</v>
      </c>
      <c r="D53" s="187">
        <f>173.626*1.075*1.2</f>
        <v>223.97754</v>
      </c>
      <c r="E53" s="464"/>
      <c r="F53" s="515"/>
      <c r="G53" s="474">
        <v>10160</v>
      </c>
      <c r="H53" s="478">
        <v>6.91</v>
      </c>
      <c r="I53" s="96"/>
      <c r="J53" s="5"/>
      <c r="K53" s="4"/>
      <c r="L53" s="5"/>
      <c r="M53" s="4"/>
      <c r="N53" s="5"/>
    </row>
    <row r="54" spans="1:14" ht="13.5" thickBot="1">
      <c r="A54" s="396"/>
      <c r="B54" s="114" t="s">
        <v>112</v>
      </c>
      <c r="C54" s="253">
        <v>4560</v>
      </c>
      <c r="D54" s="121">
        <f>1.13*1.075*1.2</f>
        <v>1.4576999999999998</v>
      </c>
      <c r="E54" s="391"/>
      <c r="F54" s="389"/>
      <c r="G54" s="474"/>
      <c r="H54" s="478"/>
      <c r="I54" s="96"/>
      <c r="J54" s="5"/>
      <c r="K54" s="4"/>
      <c r="L54" s="5"/>
      <c r="M54" s="4"/>
      <c r="N54" s="5"/>
    </row>
    <row r="55" spans="1:14" ht="12.75">
      <c r="A55" s="392" t="s">
        <v>26</v>
      </c>
      <c r="B55" s="112" t="s">
        <v>94</v>
      </c>
      <c r="C55" s="254"/>
      <c r="D55" s="119"/>
      <c r="E55" s="390"/>
      <c r="F55" s="388"/>
      <c r="G55" s="566"/>
      <c r="H55" s="512"/>
      <c r="I55" s="66"/>
      <c r="J55" s="10"/>
      <c r="K55" s="9"/>
      <c r="L55" s="10"/>
      <c r="M55" s="9"/>
      <c r="N55" s="10"/>
    </row>
    <row r="56" spans="1:14" ht="15" customHeight="1">
      <c r="A56" s="560"/>
      <c r="B56" s="113" t="s">
        <v>95</v>
      </c>
      <c r="C56" s="212"/>
      <c r="D56" s="120"/>
      <c r="E56" s="464"/>
      <c r="F56" s="515"/>
      <c r="G56" s="564"/>
      <c r="H56" s="513"/>
      <c r="I56" s="66"/>
      <c r="J56" s="10"/>
      <c r="K56" s="9"/>
      <c r="L56" s="10"/>
      <c r="M56" s="9"/>
      <c r="N56" s="10"/>
    </row>
    <row r="57" spans="1:14" ht="15" customHeight="1">
      <c r="A57" s="560"/>
      <c r="B57" s="113" t="s">
        <v>113</v>
      </c>
      <c r="C57" s="212"/>
      <c r="D57" s="120"/>
      <c r="E57" s="464"/>
      <c r="F57" s="515"/>
      <c r="G57" s="564"/>
      <c r="H57" s="513"/>
      <c r="I57" s="66"/>
      <c r="J57" s="10"/>
      <c r="K57" s="9"/>
      <c r="L57" s="10"/>
      <c r="M57" s="9"/>
      <c r="N57" s="10"/>
    </row>
    <row r="58" spans="1:14" ht="13.5" thickBot="1">
      <c r="A58" s="393"/>
      <c r="B58" s="114" t="s">
        <v>112</v>
      </c>
      <c r="C58" s="246"/>
      <c r="D58" s="121"/>
      <c r="E58" s="394"/>
      <c r="F58" s="395"/>
      <c r="G58" s="565"/>
      <c r="H58" s="514"/>
      <c r="I58" s="65"/>
      <c r="J58" s="3"/>
      <c r="K58" s="2"/>
      <c r="L58" s="3"/>
      <c r="M58" s="2"/>
      <c r="N58" s="3"/>
    </row>
    <row r="59" spans="1:14" ht="13.5" thickTop="1">
      <c r="A59" s="1"/>
      <c r="B59" s="1"/>
      <c r="C59" s="1"/>
      <c r="D59" s="264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s="27" customFormat="1" ht="12.75">
      <c r="A60" s="403" t="s">
        <v>32</v>
      </c>
      <c r="B60" s="403"/>
      <c r="C60" s="403"/>
      <c r="D60" s="404"/>
      <c r="E60" s="23"/>
      <c r="F60" s="23"/>
      <c r="G60" s="23"/>
      <c r="H60" s="23"/>
      <c r="I60" s="23"/>
      <c r="J60" s="23"/>
      <c r="K60" s="23"/>
      <c r="L60" s="23"/>
      <c r="M60" s="23"/>
      <c r="N60" s="23"/>
    </row>
    <row r="61" spans="1:14" s="27" customFormat="1" ht="12.75">
      <c r="A61" s="23"/>
      <c r="B61" s="22" t="s">
        <v>33</v>
      </c>
      <c r="C61" s="22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</row>
    <row r="62" spans="1:14" s="27" customFormat="1" ht="12.75">
      <c r="A62" s="23"/>
      <c r="B62" s="403" t="s">
        <v>35</v>
      </c>
      <c r="C62" s="403"/>
      <c r="D62" s="403"/>
      <c r="E62" s="404"/>
      <c r="F62" s="23"/>
      <c r="G62" s="23"/>
      <c r="H62" s="23"/>
      <c r="I62" s="23"/>
      <c r="J62" s="23"/>
      <c r="K62" s="23"/>
      <c r="L62" s="23"/>
      <c r="M62" s="23"/>
      <c r="N62" s="23"/>
    </row>
    <row r="63" spans="1:14" s="27" customFormat="1" ht="12.75">
      <c r="A63" s="23"/>
      <c r="B63" s="403" t="s">
        <v>34</v>
      </c>
      <c r="C63" s="403"/>
      <c r="D63" s="403"/>
      <c r="E63" s="23"/>
      <c r="F63" s="23"/>
      <c r="G63" s="23"/>
      <c r="H63" s="23"/>
      <c r="I63" s="23"/>
      <c r="J63" s="23"/>
      <c r="K63" s="23"/>
      <c r="L63" s="23"/>
      <c r="M63" s="23"/>
      <c r="N63" s="23"/>
    </row>
    <row r="64" spans="1:14" ht="14.25">
      <c r="A64" s="16"/>
      <c r="B64" s="16"/>
      <c r="C64" s="16"/>
      <c r="D64" s="16"/>
      <c r="E64" s="16"/>
      <c r="F64" s="16"/>
      <c r="G64" s="16"/>
      <c r="H64" s="1"/>
      <c r="I64" s="1"/>
      <c r="J64" s="1"/>
      <c r="K64" s="1"/>
      <c r="L64" s="1"/>
      <c r="M64" s="1"/>
      <c r="N64" s="1"/>
    </row>
    <row r="65" spans="1:7" ht="14.25">
      <c r="A65" s="20"/>
      <c r="B65" s="20"/>
      <c r="C65" s="20"/>
      <c r="D65" s="20"/>
      <c r="E65" s="20"/>
      <c r="F65" s="20"/>
      <c r="G65" s="20"/>
    </row>
    <row r="66" spans="1:7" ht="14.25">
      <c r="A66" s="20"/>
      <c r="B66" s="20"/>
      <c r="C66" s="20"/>
      <c r="D66" s="20"/>
      <c r="E66" s="20"/>
      <c r="F66" s="20"/>
      <c r="G66" s="20"/>
    </row>
    <row r="67" spans="1:7" ht="14.25">
      <c r="A67" s="20"/>
      <c r="B67" s="20"/>
      <c r="C67" s="20"/>
      <c r="D67" s="20"/>
      <c r="E67" s="20"/>
      <c r="F67" s="20"/>
      <c r="G67" s="20"/>
    </row>
    <row r="68" spans="1:7" ht="14.25">
      <c r="A68" s="20"/>
      <c r="B68" s="20"/>
      <c r="C68" s="20"/>
      <c r="D68" s="20"/>
      <c r="E68" s="20"/>
      <c r="F68" s="20"/>
      <c r="G68" s="20"/>
    </row>
  </sheetData>
  <sheetProtection/>
  <mergeCells count="103">
    <mergeCell ref="H37:H38"/>
    <mergeCell ref="H49:H50"/>
    <mergeCell ref="G49:G50"/>
    <mergeCell ref="H43:H44"/>
    <mergeCell ref="G45:G46"/>
    <mergeCell ref="H45:H46"/>
    <mergeCell ref="G47:G48"/>
    <mergeCell ref="H47:H48"/>
    <mergeCell ref="H41:H42"/>
    <mergeCell ref="H39:H40"/>
    <mergeCell ref="F55:F58"/>
    <mergeCell ref="F51:F54"/>
    <mergeCell ref="H55:H56"/>
    <mergeCell ref="G57:G58"/>
    <mergeCell ref="H57:H58"/>
    <mergeCell ref="H51:H52"/>
    <mergeCell ref="G53:G54"/>
    <mergeCell ref="H53:H54"/>
    <mergeCell ref="G51:G52"/>
    <mergeCell ref="G55:G56"/>
    <mergeCell ref="B63:D63"/>
    <mergeCell ref="B62:E62"/>
    <mergeCell ref="A55:A58"/>
    <mergeCell ref="E55:E58"/>
    <mergeCell ref="A11:A14"/>
    <mergeCell ref="A15:A18"/>
    <mergeCell ref="A23:A26"/>
    <mergeCell ref="A31:A34"/>
    <mergeCell ref="H19:H20"/>
    <mergeCell ref="A39:A42"/>
    <mergeCell ref="A35:A38"/>
    <mergeCell ref="A47:A50"/>
    <mergeCell ref="E47:E50"/>
    <mergeCell ref="E35:E38"/>
    <mergeCell ref="E31:E34"/>
    <mergeCell ref="F47:F50"/>
    <mergeCell ref="H35:H36"/>
    <mergeCell ref="G37:G38"/>
    <mergeCell ref="I9:J9"/>
    <mergeCell ref="E9:E10"/>
    <mergeCell ref="F9:F10"/>
    <mergeCell ref="G9:H9"/>
    <mergeCell ref="E27:E30"/>
    <mergeCell ref="F27:F30"/>
    <mergeCell ref="E15:E18"/>
    <mergeCell ref="F15:F18"/>
    <mergeCell ref="F19:F22"/>
    <mergeCell ref="B9:C10"/>
    <mergeCell ref="A27:A30"/>
    <mergeCell ref="F23:F26"/>
    <mergeCell ref="G19:G20"/>
    <mergeCell ref="G11:G12"/>
    <mergeCell ref="G21:G22"/>
    <mergeCell ref="G23:G24"/>
    <mergeCell ref="F11:F14"/>
    <mergeCell ref="E19:E22"/>
    <mergeCell ref="E23:E26"/>
    <mergeCell ref="M9:N9"/>
    <mergeCell ref="A60:D60"/>
    <mergeCell ref="A19:A22"/>
    <mergeCell ref="E11:E14"/>
    <mergeCell ref="A43:A46"/>
    <mergeCell ref="E43:E46"/>
    <mergeCell ref="F43:F46"/>
    <mergeCell ref="G43:G44"/>
    <mergeCell ref="A51:A54"/>
    <mergeCell ref="E51:E54"/>
    <mergeCell ref="I1:K1"/>
    <mergeCell ref="I2:K2"/>
    <mergeCell ref="I3:K3"/>
    <mergeCell ref="K9:L9"/>
    <mergeCell ref="A6:N7"/>
    <mergeCell ref="A8:A10"/>
    <mergeCell ref="B8:D8"/>
    <mergeCell ref="E8:F8"/>
    <mergeCell ref="G8:N8"/>
    <mergeCell ref="D9:D10"/>
    <mergeCell ref="E39:E42"/>
    <mergeCell ref="F39:F42"/>
    <mergeCell ref="G41:G42"/>
    <mergeCell ref="G39:G40"/>
    <mergeCell ref="G29:G30"/>
    <mergeCell ref="G25:G26"/>
    <mergeCell ref="G27:G28"/>
    <mergeCell ref="F31:F34"/>
    <mergeCell ref="F35:F38"/>
    <mergeCell ref="G31:G32"/>
    <mergeCell ref="G33:G34"/>
    <mergeCell ref="G35:G36"/>
    <mergeCell ref="H33:H34"/>
    <mergeCell ref="H21:H22"/>
    <mergeCell ref="H23:H24"/>
    <mergeCell ref="H25:H26"/>
    <mergeCell ref="H27:H28"/>
    <mergeCell ref="H31:H32"/>
    <mergeCell ref="H29:H30"/>
    <mergeCell ref="H11:H12"/>
    <mergeCell ref="G13:G14"/>
    <mergeCell ref="H13:H14"/>
    <mergeCell ref="G17:G18"/>
    <mergeCell ref="H17:H18"/>
    <mergeCell ref="G15:G16"/>
    <mergeCell ref="H15:H16"/>
  </mergeCells>
  <printOptions/>
  <pageMargins left="0.2" right="0.2" top="0.37" bottom="0.63" header="0.5" footer="0.41"/>
  <pageSetup horizontalDpi="600" verticalDpi="600" orientation="landscape" paperSize="9" r:id="rId1"/>
  <headerFooter alignWithMargins="0">
    <oddFooter>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N40"/>
  <sheetViews>
    <sheetView tabSelected="1" zoomScalePageLayoutView="0" workbookViewId="0" topLeftCell="A10">
      <selection activeCell="C33" sqref="C33"/>
    </sheetView>
  </sheetViews>
  <sheetFormatPr defaultColWidth="9.140625" defaultRowHeight="12.75"/>
  <cols>
    <col min="1" max="1" width="16.57421875" style="0" customWidth="1"/>
    <col min="2" max="2" width="7.28125" style="0" customWidth="1"/>
    <col min="3" max="3" width="12.00390625" style="0" customWidth="1"/>
    <col min="4" max="4" width="6.57421875" style="0" customWidth="1"/>
    <col min="5" max="5" width="13.421875" style="0" customWidth="1"/>
    <col min="6" max="6" width="6.7109375" style="0" customWidth="1"/>
    <col min="7" max="7" width="11.140625" style="0" customWidth="1"/>
    <col min="8" max="8" width="13.7109375" style="0" customWidth="1"/>
    <col min="9" max="9" width="11.8515625" style="0" customWidth="1"/>
    <col min="10" max="10" width="6.140625" style="0" customWidth="1"/>
    <col min="11" max="11" width="12.28125" style="0" customWidth="1"/>
    <col min="12" max="12" width="7.00390625" style="0" customWidth="1"/>
    <col min="13" max="13" width="11.421875" style="0" customWidth="1"/>
    <col min="14" max="14" width="8.140625" style="0" customWidth="1"/>
  </cols>
  <sheetData>
    <row r="1" spans="1:14" s="24" customFormat="1" ht="15">
      <c r="A1" s="19" t="s">
        <v>41</v>
      </c>
      <c r="B1" s="17" t="s">
        <v>52</v>
      </c>
      <c r="C1" s="17"/>
      <c r="D1" s="18"/>
      <c r="E1" s="18"/>
      <c r="F1" s="18">
        <v>51258</v>
      </c>
      <c r="G1" s="18"/>
      <c r="H1" s="18"/>
      <c r="I1" s="495" t="s">
        <v>29</v>
      </c>
      <c r="J1" s="495"/>
      <c r="K1" s="495"/>
      <c r="L1" s="18">
        <v>150</v>
      </c>
      <c r="M1" s="18"/>
      <c r="N1" s="18"/>
    </row>
    <row r="2" spans="1:14" s="24" customFormat="1" ht="15">
      <c r="A2" s="17" t="s">
        <v>1</v>
      </c>
      <c r="B2" s="17" t="s">
        <v>59</v>
      </c>
      <c r="C2" s="17"/>
      <c r="D2" s="18"/>
      <c r="E2" s="18"/>
      <c r="F2" s="18"/>
      <c r="G2" s="18"/>
      <c r="H2" s="18"/>
      <c r="I2" s="495" t="s">
        <v>2</v>
      </c>
      <c r="J2" s="495"/>
      <c r="K2" s="495"/>
      <c r="L2" s="18">
        <v>2</v>
      </c>
      <c r="M2" s="18"/>
      <c r="N2" s="18"/>
    </row>
    <row r="3" spans="1:14" s="24" customFormat="1" ht="15">
      <c r="A3" s="17" t="s">
        <v>0</v>
      </c>
      <c r="B3" s="17" t="s">
        <v>38</v>
      </c>
      <c r="C3" s="17"/>
      <c r="D3" s="18"/>
      <c r="E3" s="18"/>
      <c r="F3" s="18"/>
      <c r="G3" s="18"/>
      <c r="H3" s="18"/>
      <c r="I3" s="495" t="s">
        <v>3</v>
      </c>
      <c r="J3" s="495"/>
      <c r="K3" s="495"/>
      <c r="L3" s="18" t="s">
        <v>49</v>
      </c>
      <c r="M3" s="18"/>
      <c r="N3" s="18"/>
    </row>
    <row r="4" spans="1:14" s="24" customFormat="1" ht="15">
      <c r="A4" s="17" t="s">
        <v>4</v>
      </c>
      <c r="B4" s="17">
        <v>60</v>
      </c>
      <c r="C4" s="17"/>
      <c r="D4" s="18"/>
      <c r="E4" s="18"/>
      <c r="F4" s="18"/>
      <c r="G4" s="18"/>
      <c r="H4" s="18"/>
      <c r="I4" s="17" t="s">
        <v>31</v>
      </c>
      <c r="J4" s="17"/>
      <c r="K4" s="17"/>
      <c r="L4" s="18" t="s">
        <v>61</v>
      </c>
      <c r="M4" s="18"/>
      <c r="N4" s="18"/>
    </row>
    <row r="5" spans="1:14" ht="15" thickBot="1">
      <c r="A5" s="1"/>
      <c r="B5" s="1"/>
      <c r="C5" s="1"/>
      <c r="D5" s="1"/>
      <c r="E5" s="1"/>
      <c r="F5" s="1"/>
      <c r="G5" s="1"/>
      <c r="H5" s="1"/>
      <c r="I5" s="1"/>
      <c r="J5" s="1"/>
      <c r="K5" s="35"/>
      <c r="L5" s="35" t="s">
        <v>65</v>
      </c>
      <c r="M5" s="35"/>
      <c r="N5" s="1"/>
    </row>
    <row r="6" spans="1:14" ht="13.5" thickTop="1">
      <c r="A6" s="376" t="s">
        <v>5</v>
      </c>
      <c r="B6" s="377"/>
      <c r="C6" s="377"/>
      <c r="D6" s="377"/>
      <c r="E6" s="377"/>
      <c r="F6" s="377"/>
      <c r="G6" s="377"/>
      <c r="H6" s="377"/>
      <c r="I6" s="377"/>
      <c r="J6" s="377"/>
      <c r="K6" s="377"/>
      <c r="L6" s="377"/>
      <c r="M6" s="377"/>
      <c r="N6" s="378"/>
    </row>
    <row r="7" spans="1:14" ht="13.5" thickBot="1">
      <c r="A7" s="379"/>
      <c r="B7" s="380"/>
      <c r="C7" s="380"/>
      <c r="D7" s="380"/>
      <c r="E7" s="380"/>
      <c r="F7" s="380"/>
      <c r="G7" s="380"/>
      <c r="H7" s="380"/>
      <c r="I7" s="380"/>
      <c r="J7" s="380"/>
      <c r="K7" s="380"/>
      <c r="L7" s="380"/>
      <c r="M7" s="380"/>
      <c r="N7" s="381"/>
    </row>
    <row r="8" spans="1:14" ht="16.5" thickBot="1" thickTop="1">
      <c r="A8" s="369" t="s">
        <v>6</v>
      </c>
      <c r="B8" s="357" t="s">
        <v>7</v>
      </c>
      <c r="C8" s="361"/>
      <c r="D8" s="358"/>
      <c r="E8" s="357" t="s">
        <v>11</v>
      </c>
      <c r="F8" s="358"/>
      <c r="G8" s="382" t="s">
        <v>15</v>
      </c>
      <c r="H8" s="383"/>
      <c r="I8" s="383"/>
      <c r="J8" s="383"/>
      <c r="K8" s="383"/>
      <c r="L8" s="383"/>
      <c r="M8" s="383"/>
      <c r="N8" s="384"/>
    </row>
    <row r="9" spans="1:14" ht="13.5" thickTop="1">
      <c r="A9" s="370"/>
      <c r="B9" s="399" t="s">
        <v>8</v>
      </c>
      <c r="C9" s="372"/>
      <c r="D9" s="373" t="s">
        <v>9</v>
      </c>
      <c r="E9" s="466" t="s">
        <v>10</v>
      </c>
      <c r="F9" s="373" t="s">
        <v>9</v>
      </c>
      <c r="G9" s="502" t="s">
        <v>27</v>
      </c>
      <c r="H9" s="503"/>
      <c r="I9" s="375" t="s">
        <v>28</v>
      </c>
      <c r="J9" s="356"/>
      <c r="K9" s="375" t="s">
        <v>13</v>
      </c>
      <c r="L9" s="356"/>
      <c r="M9" s="375" t="s">
        <v>14</v>
      </c>
      <c r="N9" s="356"/>
    </row>
    <row r="10" spans="1:14" ht="15" thickBot="1">
      <c r="A10" s="371"/>
      <c r="B10" s="401"/>
      <c r="C10" s="464"/>
      <c r="D10" s="478"/>
      <c r="E10" s="467"/>
      <c r="F10" s="374"/>
      <c r="G10" s="11" t="s">
        <v>114</v>
      </c>
      <c r="H10" s="3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5.75" thickTop="1">
      <c r="A11" s="76" t="s">
        <v>16</v>
      </c>
      <c r="B11" s="97" t="s">
        <v>102</v>
      </c>
      <c r="C11" s="199">
        <v>0</v>
      </c>
      <c r="D11" s="200">
        <f>(5.66+2.789+0.437+0.015)*1.075*1.2</f>
        <v>11.482289999999999</v>
      </c>
      <c r="E11" s="571">
        <v>2</v>
      </c>
      <c r="F11" s="373">
        <v>52.47</v>
      </c>
      <c r="G11" s="291"/>
      <c r="H11" s="292"/>
      <c r="I11" s="6"/>
      <c r="J11" s="7"/>
      <c r="K11" s="6"/>
      <c r="L11" s="7"/>
      <c r="M11" s="6"/>
      <c r="N11" s="7"/>
    </row>
    <row r="12" spans="1:14" ht="15.75" thickBot="1">
      <c r="A12" s="110"/>
      <c r="B12" s="74" t="s">
        <v>113</v>
      </c>
      <c r="C12" s="202">
        <v>17.25</v>
      </c>
      <c r="D12" s="203">
        <f>49.291*1.075*1.2</f>
        <v>63.58538999999999</v>
      </c>
      <c r="E12" s="534"/>
      <c r="F12" s="364"/>
      <c r="G12" s="221"/>
      <c r="H12" s="222"/>
      <c r="I12" s="6"/>
      <c r="J12" s="7"/>
      <c r="K12" s="6"/>
      <c r="L12" s="7"/>
      <c r="M12" s="6"/>
      <c r="N12" s="7"/>
    </row>
    <row r="13" spans="1:14" ht="15">
      <c r="A13" s="72" t="s">
        <v>17</v>
      </c>
      <c r="B13" s="97" t="s">
        <v>102</v>
      </c>
      <c r="C13" s="91">
        <v>0</v>
      </c>
      <c r="D13" s="200">
        <f>(5.66+3.049+0.437+0.015)*1.075*1.2</f>
        <v>11.817689999999999</v>
      </c>
      <c r="E13" s="516">
        <v>5</v>
      </c>
      <c r="F13" s="492">
        <v>52.47</v>
      </c>
      <c r="G13" s="293"/>
      <c r="H13" s="294"/>
      <c r="I13" s="4"/>
      <c r="J13" s="5"/>
      <c r="K13" s="4"/>
      <c r="L13" s="5"/>
      <c r="M13" s="4"/>
      <c r="N13" s="5"/>
    </row>
    <row r="14" spans="1:14" ht="15.75" thickBot="1">
      <c r="A14" s="72"/>
      <c r="B14" s="74" t="s">
        <v>113</v>
      </c>
      <c r="C14" s="91">
        <v>17.25</v>
      </c>
      <c r="D14" s="203">
        <f>49.863*1.075*1.2</f>
        <v>64.32327</v>
      </c>
      <c r="E14" s="534"/>
      <c r="F14" s="505"/>
      <c r="G14" s="293"/>
      <c r="H14" s="294"/>
      <c r="I14" s="4"/>
      <c r="J14" s="5"/>
      <c r="K14" s="4"/>
      <c r="L14" s="5"/>
      <c r="M14" s="4"/>
      <c r="N14" s="5"/>
    </row>
    <row r="15" spans="1:14" ht="15">
      <c r="A15" s="95" t="s">
        <v>18</v>
      </c>
      <c r="B15" s="97" t="s">
        <v>102</v>
      </c>
      <c r="C15" s="94">
        <v>1048</v>
      </c>
      <c r="D15" s="200">
        <f>(5.66+3.049+0.437+0.015)*1.075*1.2</f>
        <v>11.817689999999999</v>
      </c>
      <c r="E15" s="516">
        <v>51</v>
      </c>
      <c r="F15" s="363">
        <v>52.47</v>
      </c>
      <c r="G15" s="229"/>
      <c r="H15" s="230"/>
      <c r="I15" s="4"/>
      <c r="J15" s="5"/>
      <c r="K15" s="4"/>
      <c r="L15" s="5"/>
      <c r="M15" s="4"/>
      <c r="N15" s="5"/>
    </row>
    <row r="16" spans="1:14" ht="15.75" thickBot="1">
      <c r="A16" s="95"/>
      <c r="B16" s="74" t="s">
        <v>113</v>
      </c>
      <c r="C16" s="94">
        <v>17.25</v>
      </c>
      <c r="D16" s="203">
        <f>49.863*1.075*1.2</f>
        <v>64.32327</v>
      </c>
      <c r="E16" s="534"/>
      <c r="F16" s="364"/>
      <c r="G16" s="229"/>
      <c r="H16" s="230"/>
      <c r="I16" s="4"/>
      <c r="J16" s="5"/>
      <c r="K16" s="4"/>
      <c r="L16" s="5"/>
      <c r="M16" s="4"/>
      <c r="N16" s="5"/>
    </row>
    <row r="17" spans="1:14" ht="15">
      <c r="A17" s="95" t="s">
        <v>19</v>
      </c>
      <c r="B17" s="97" t="s">
        <v>102</v>
      </c>
      <c r="C17" s="94">
        <v>0</v>
      </c>
      <c r="D17" s="200">
        <f>(5.66+3.049+0.437+0.015)*1.075*1.2</f>
        <v>11.817689999999999</v>
      </c>
      <c r="E17" s="516">
        <v>78</v>
      </c>
      <c r="F17" s="363">
        <v>52.47</v>
      </c>
      <c r="G17" s="229"/>
      <c r="H17" s="230"/>
      <c r="I17" s="4"/>
      <c r="J17" s="5"/>
      <c r="K17" s="4"/>
      <c r="L17" s="5"/>
      <c r="M17" s="4"/>
      <c r="N17" s="5"/>
    </row>
    <row r="18" spans="1:14" ht="15.75" thickBot="1">
      <c r="A18" s="95"/>
      <c r="B18" s="74" t="s">
        <v>113</v>
      </c>
      <c r="C18" s="94">
        <v>17.25</v>
      </c>
      <c r="D18" s="203">
        <f>49.863*1.075*1.2</f>
        <v>64.32327</v>
      </c>
      <c r="E18" s="534"/>
      <c r="F18" s="364"/>
      <c r="G18" s="229"/>
      <c r="H18" s="230"/>
      <c r="I18" s="4"/>
      <c r="J18" s="5"/>
      <c r="K18" s="4"/>
      <c r="L18" s="5"/>
      <c r="M18" s="4"/>
      <c r="N18" s="5"/>
    </row>
    <row r="19" spans="1:14" ht="15">
      <c r="A19" s="95" t="s">
        <v>20</v>
      </c>
      <c r="B19" s="97" t="s">
        <v>102</v>
      </c>
      <c r="C19" s="94">
        <v>0</v>
      </c>
      <c r="D19" s="200">
        <f>(5.66+3.049+0.437+0.015)*1.075*1.2</f>
        <v>11.817689999999999</v>
      </c>
      <c r="E19" s="516">
        <v>63</v>
      </c>
      <c r="F19" s="363">
        <v>52.47</v>
      </c>
      <c r="G19" s="229"/>
      <c r="H19" s="230"/>
      <c r="I19" s="4"/>
      <c r="J19" s="5"/>
      <c r="K19" s="4"/>
      <c r="L19" s="5"/>
      <c r="M19" s="4"/>
      <c r="N19" s="5"/>
    </row>
    <row r="20" spans="1:14" ht="15.75" thickBot="1">
      <c r="A20" s="95"/>
      <c r="B20" s="74" t="s">
        <v>113</v>
      </c>
      <c r="C20" s="94">
        <v>34.5</v>
      </c>
      <c r="D20" s="203">
        <f>49.863*1.075*1.2</f>
        <v>64.32327</v>
      </c>
      <c r="E20" s="534"/>
      <c r="F20" s="364"/>
      <c r="G20" s="229"/>
      <c r="H20" s="230"/>
      <c r="I20" s="4"/>
      <c r="J20" s="5"/>
      <c r="K20" s="4"/>
      <c r="L20" s="5"/>
      <c r="M20" s="4"/>
      <c r="N20" s="5"/>
    </row>
    <row r="21" spans="1:14" ht="15">
      <c r="A21" s="95" t="s">
        <v>21</v>
      </c>
      <c r="B21" s="97" t="s">
        <v>102</v>
      </c>
      <c r="C21" s="94">
        <v>0</v>
      </c>
      <c r="D21" s="200">
        <f>(5.66+3.049+0.437+0.015)*1.075*1.2</f>
        <v>11.817689999999999</v>
      </c>
      <c r="E21" s="516">
        <v>66</v>
      </c>
      <c r="F21" s="363">
        <v>52.47</v>
      </c>
      <c r="G21" s="229"/>
      <c r="H21" s="230"/>
      <c r="I21" s="4"/>
      <c r="J21" s="5"/>
      <c r="K21" s="4"/>
      <c r="L21" s="5"/>
      <c r="M21" s="4"/>
      <c r="N21" s="5"/>
    </row>
    <row r="22" spans="1:14" ht="15.75" thickBot="1">
      <c r="A22" s="95"/>
      <c r="B22" s="74" t="s">
        <v>113</v>
      </c>
      <c r="C22" s="94">
        <v>34.5</v>
      </c>
      <c r="D22" s="203">
        <f>49.863*1.075*1.2</f>
        <v>64.32327</v>
      </c>
      <c r="E22" s="534"/>
      <c r="F22" s="364"/>
      <c r="G22" s="229"/>
      <c r="H22" s="230"/>
      <c r="I22" s="4"/>
      <c r="J22" s="5"/>
      <c r="K22" s="4"/>
      <c r="L22" s="5"/>
      <c r="M22" s="4"/>
      <c r="N22" s="5"/>
    </row>
    <row r="23" spans="1:14" ht="15">
      <c r="A23" s="95" t="s">
        <v>69</v>
      </c>
      <c r="B23" s="97" t="s">
        <v>102</v>
      </c>
      <c r="C23" s="94">
        <v>314</v>
      </c>
      <c r="D23" s="200">
        <f>(5.66+3.049+0.437+0.015)*1.075*1.2</f>
        <v>11.817689999999999</v>
      </c>
      <c r="E23" s="516">
        <v>8</v>
      </c>
      <c r="F23" s="363">
        <v>52.47</v>
      </c>
      <c r="G23" s="229"/>
      <c r="H23" s="230"/>
      <c r="I23" s="4"/>
      <c r="J23" s="5"/>
      <c r="K23" s="4"/>
      <c r="L23" s="5"/>
      <c r="M23" s="4"/>
      <c r="N23" s="5"/>
    </row>
    <row r="24" spans="1:14" ht="15.75" thickBot="1">
      <c r="A24" s="95"/>
      <c r="B24" s="74" t="s">
        <v>113</v>
      </c>
      <c r="C24" s="94">
        <v>34.5</v>
      </c>
      <c r="D24" s="203">
        <f>49.863*1.075*1.2</f>
        <v>64.32327</v>
      </c>
      <c r="E24" s="534"/>
      <c r="F24" s="364"/>
      <c r="G24" s="229"/>
      <c r="H24" s="230"/>
      <c r="I24" s="4"/>
      <c r="J24" s="5"/>
      <c r="K24" s="4"/>
      <c r="L24" s="5"/>
      <c r="M24" s="4"/>
      <c r="N24" s="5"/>
    </row>
    <row r="25" spans="1:14" ht="15">
      <c r="A25" s="95" t="s">
        <v>22</v>
      </c>
      <c r="B25" s="97" t="s">
        <v>102</v>
      </c>
      <c r="C25" s="94">
        <v>97</v>
      </c>
      <c r="D25" s="200">
        <f>(5.66+3.049+0.437+0.015)*1.075*1.2</f>
        <v>11.817689999999999</v>
      </c>
      <c r="E25" s="516">
        <v>42</v>
      </c>
      <c r="F25" s="363">
        <v>52.47</v>
      </c>
      <c r="G25" s="229"/>
      <c r="H25" s="230"/>
      <c r="I25" s="4"/>
      <c r="J25" s="5"/>
      <c r="K25" s="4"/>
      <c r="L25" s="5"/>
      <c r="M25" s="4"/>
      <c r="N25" s="5"/>
    </row>
    <row r="26" spans="1:14" ht="15.75" thickBot="1">
      <c r="A26" s="95"/>
      <c r="B26" s="74" t="s">
        <v>113</v>
      </c>
      <c r="C26" s="94">
        <v>34.5</v>
      </c>
      <c r="D26" s="203">
        <f>49.863*1.075*1.2</f>
        <v>64.32327</v>
      </c>
      <c r="E26" s="534"/>
      <c r="F26" s="364"/>
      <c r="G26" s="229"/>
      <c r="H26" s="230"/>
      <c r="I26" s="4"/>
      <c r="J26" s="5"/>
      <c r="K26" s="4"/>
      <c r="L26" s="5"/>
      <c r="M26" s="4"/>
      <c r="N26" s="5"/>
    </row>
    <row r="27" spans="1:14" ht="15">
      <c r="A27" s="95" t="s">
        <v>23</v>
      </c>
      <c r="B27" s="97" t="s">
        <v>102</v>
      </c>
      <c r="C27" s="94">
        <v>0</v>
      </c>
      <c r="D27" s="200">
        <f>(8.73+3.049+0.437+0.015)*1.075*1.2</f>
        <v>15.777989999999999</v>
      </c>
      <c r="E27" s="516">
        <v>46</v>
      </c>
      <c r="F27" s="363">
        <v>58.17</v>
      </c>
      <c r="G27" s="229"/>
      <c r="H27" s="230"/>
      <c r="I27" s="4"/>
      <c r="J27" s="5"/>
      <c r="K27" s="4"/>
      <c r="L27" s="5"/>
      <c r="M27" s="4"/>
      <c r="N27" s="5"/>
    </row>
    <row r="28" spans="1:14" ht="15.75" thickBot="1">
      <c r="A28" s="95"/>
      <c r="B28" s="74" t="s">
        <v>113</v>
      </c>
      <c r="C28" s="94">
        <v>34.5</v>
      </c>
      <c r="D28" s="203">
        <f>49.863*1.075*1.2</f>
        <v>64.32327</v>
      </c>
      <c r="E28" s="534"/>
      <c r="F28" s="364"/>
      <c r="G28" s="229"/>
      <c r="H28" s="230"/>
      <c r="I28" s="4"/>
      <c r="J28" s="5"/>
      <c r="K28" s="4"/>
      <c r="L28" s="5"/>
      <c r="M28" s="4"/>
      <c r="N28" s="5"/>
    </row>
    <row r="29" spans="1:14" ht="15">
      <c r="A29" s="95" t="s">
        <v>24</v>
      </c>
      <c r="B29" s="97" t="s">
        <v>102</v>
      </c>
      <c r="C29" s="94">
        <v>0</v>
      </c>
      <c r="D29" s="200">
        <f>(8.73+3.394+0.437+0.015)*1.075*1.2</f>
        <v>16.223039999999997</v>
      </c>
      <c r="E29" s="516">
        <v>40</v>
      </c>
      <c r="F29" s="363">
        <v>58.17</v>
      </c>
      <c r="G29" s="229"/>
      <c r="H29" s="230"/>
      <c r="I29" s="4"/>
      <c r="J29" s="5"/>
      <c r="K29" s="4"/>
      <c r="L29" s="5"/>
      <c r="M29" s="4"/>
      <c r="N29" s="5"/>
    </row>
    <row r="30" spans="1:14" ht="15.75" thickBot="1">
      <c r="A30" s="95"/>
      <c r="B30" s="74" t="s">
        <v>113</v>
      </c>
      <c r="C30" s="94">
        <v>34.5</v>
      </c>
      <c r="D30" s="203">
        <f>54.258*1.075*1.2</f>
        <v>69.99282</v>
      </c>
      <c r="E30" s="534"/>
      <c r="F30" s="364"/>
      <c r="G30" s="229"/>
      <c r="H30" s="230"/>
      <c r="I30" s="4"/>
      <c r="J30" s="5"/>
      <c r="K30" s="4"/>
      <c r="L30" s="5"/>
      <c r="M30" s="4"/>
      <c r="N30" s="5"/>
    </row>
    <row r="31" spans="1:14" ht="15">
      <c r="A31" s="95" t="s">
        <v>25</v>
      </c>
      <c r="B31" s="97" t="s">
        <v>102</v>
      </c>
      <c r="C31" s="94">
        <v>0</v>
      </c>
      <c r="D31" s="200">
        <f>(8.73+3.394+0.437+0.015)*1.075*1.2</f>
        <v>16.223039999999997</v>
      </c>
      <c r="E31" s="516">
        <v>69</v>
      </c>
      <c r="F31" s="363">
        <v>58.17</v>
      </c>
      <c r="G31" s="229"/>
      <c r="H31" s="230"/>
      <c r="I31" s="4"/>
      <c r="J31" s="5"/>
      <c r="K31" s="4"/>
      <c r="L31" s="5"/>
      <c r="M31" s="4"/>
      <c r="N31" s="5"/>
    </row>
    <row r="32" spans="1:14" ht="15.75" thickBot="1">
      <c r="A32" s="72"/>
      <c r="B32" s="74" t="s">
        <v>113</v>
      </c>
      <c r="C32" s="94">
        <v>34.5</v>
      </c>
      <c r="D32" s="203">
        <f>54.258*1.075*1.2</f>
        <v>69.99282</v>
      </c>
      <c r="E32" s="534"/>
      <c r="F32" s="364"/>
      <c r="G32" s="227"/>
      <c r="H32" s="228"/>
      <c r="I32" s="9"/>
      <c r="J32" s="10"/>
      <c r="K32" s="9"/>
      <c r="L32" s="10"/>
      <c r="M32" s="9"/>
      <c r="N32" s="10"/>
    </row>
    <row r="33" spans="1:14" ht="15.75" thickBot="1">
      <c r="A33" s="72" t="s">
        <v>26</v>
      </c>
      <c r="B33" s="97" t="s">
        <v>102</v>
      </c>
      <c r="C33" s="91"/>
      <c r="D33" s="182"/>
      <c r="E33" s="567"/>
      <c r="F33" s="569"/>
      <c r="G33" s="227"/>
      <c r="H33" s="228"/>
      <c r="I33" s="9"/>
      <c r="J33" s="10"/>
      <c r="K33" s="9"/>
      <c r="L33" s="10"/>
      <c r="M33" s="9"/>
      <c r="N33" s="10"/>
    </row>
    <row r="34" spans="1:14" ht="13.5" thickBot="1">
      <c r="A34" s="152"/>
      <c r="B34" s="153" t="s">
        <v>113</v>
      </c>
      <c r="C34" s="154"/>
      <c r="D34" s="183"/>
      <c r="E34" s="568"/>
      <c r="F34" s="570"/>
      <c r="G34" s="277"/>
      <c r="H34" s="278"/>
      <c r="I34" s="2"/>
      <c r="J34" s="3"/>
      <c r="K34" s="2"/>
      <c r="L34" s="3"/>
      <c r="M34" s="2"/>
      <c r="N34" s="3"/>
    </row>
    <row r="35" spans="1:14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s="27" customFormat="1" ht="12.75">
      <c r="A36" s="403"/>
      <c r="B36" s="403"/>
      <c r="C36" s="403"/>
      <c r="D36" s="404"/>
      <c r="E36" s="23"/>
      <c r="F36" s="23"/>
      <c r="G36" s="23"/>
      <c r="H36" s="23"/>
      <c r="I36" s="23"/>
      <c r="J36" s="23"/>
      <c r="K36" s="23"/>
      <c r="L36" s="23"/>
      <c r="M36" s="23"/>
      <c r="N36" s="23"/>
    </row>
    <row r="37" spans="1:14" s="27" customFormat="1" ht="12.75">
      <c r="A37" s="23"/>
      <c r="B37" s="22"/>
      <c r="C37" s="22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</row>
    <row r="38" spans="1:14" s="27" customFormat="1" ht="12.75">
      <c r="A38" s="23"/>
      <c r="B38" s="403"/>
      <c r="C38" s="403"/>
      <c r="D38" s="403"/>
      <c r="E38" s="404"/>
      <c r="F38" s="23"/>
      <c r="G38" s="23"/>
      <c r="H38" s="23"/>
      <c r="I38" s="23"/>
      <c r="J38" s="23"/>
      <c r="K38" s="23"/>
      <c r="L38" s="23"/>
      <c r="M38" s="23"/>
      <c r="N38" s="23"/>
    </row>
    <row r="39" spans="1:14" s="27" customFormat="1" ht="12.75">
      <c r="A39" s="23"/>
      <c r="B39" s="403"/>
      <c r="C39" s="403"/>
      <c r="D39" s="403"/>
      <c r="E39" s="23"/>
      <c r="F39" s="23"/>
      <c r="G39" s="23"/>
      <c r="H39" s="23"/>
      <c r="I39" s="23"/>
      <c r="J39" s="23"/>
      <c r="K39" s="23"/>
      <c r="L39" s="23"/>
      <c r="M39" s="23"/>
      <c r="N39" s="23"/>
    </row>
    <row r="40" spans="1:14" s="20" customFormat="1" ht="14.2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</row>
    <row r="41" s="20" customFormat="1" ht="14.25"/>
  </sheetData>
  <sheetProtection/>
  <mergeCells count="43">
    <mergeCell ref="B9:C10"/>
    <mergeCell ref="F21:F22"/>
    <mergeCell ref="I1:K1"/>
    <mergeCell ref="I2:K2"/>
    <mergeCell ref="I3:K3"/>
    <mergeCell ref="F11:F12"/>
    <mergeCell ref="F9:F10"/>
    <mergeCell ref="G9:H9"/>
    <mergeCell ref="I9:J9"/>
    <mergeCell ref="K9:L9"/>
    <mergeCell ref="F13:F14"/>
    <mergeCell ref="F15:F16"/>
    <mergeCell ref="M9:N9"/>
    <mergeCell ref="A6:N7"/>
    <mergeCell ref="A8:A10"/>
    <mergeCell ref="B8:D8"/>
    <mergeCell ref="E8:F8"/>
    <mergeCell ref="G8:N8"/>
    <mergeCell ref="D9:D10"/>
    <mergeCell ref="E9:E10"/>
    <mergeCell ref="E21:E22"/>
    <mergeCell ref="E19:E20"/>
    <mergeCell ref="E17:E18"/>
    <mergeCell ref="F17:F18"/>
    <mergeCell ref="F19:F20"/>
    <mergeCell ref="E11:E12"/>
    <mergeCell ref="E13:E14"/>
    <mergeCell ref="B39:D39"/>
    <mergeCell ref="A36:D36"/>
    <mergeCell ref="E23:E24"/>
    <mergeCell ref="E25:E26"/>
    <mergeCell ref="E27:E28"/>
    <mergeCell ref="E29:E30"/>
    <mergeCell ref="E31:E32"/>
    <mergeCell ref="E15:E16"/>
    <mergeCell ref="F31:F32"/>
    <mergeCell ref="F23:F24"/>
    <mergeCell ref="B38:E38"/>
    <mergeCell ref="F25:F26"/>
    <mergeCell ref="F27:F28"/>
    <mergeCell ref="F29:F30"/>
    <mergeCell ref="E33:E34"/>
    <mergeCell ref="F33:F34"/>
  </mergeCells>
  <printOptions/>
  <pageMargins left="0.2" right="0.2" top="0.32" bottom="0.82" header="0.5" footer="0.5"/>
  <pageSetup horizontalDpi="600" verticalDpi="600" orientation="landscape" paperSize="9" r:id="rId1"/>
  <headerFooter alignWithMargins="0">
    <oddFooter>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N52"/>
  <sheetViews>
    <sheetView zoomScalePageLayoutView="0" workbookViewId="0" topLeftCell="A19">
      <selection activeCell="C44" sqref="C44"/>
    </sheetView>
  </sheetViews>
  <sheetFormatPr defaultColWidth="9.140625" defaultRowHeight="12.75"/>
  <cols>
    <col min="1" max="1" width="16.140625" style="0" customWidth="1"/>
    <col min="2" max="2" width="8.140625" style="0" customWidth="1"/>
    <col min="3" max="3" width="11.57421875" style="0" customWidth="1"/>
    <col min="4" max="4" width="8.00390625" style="0" customWidth="1"/>
    <col min="5" max="5" width="12.28125" style="0" customWidth="1"/>
    <col min="6" max="6" width="5.8515625" style="0" customWidth="1"/>
    <col min="7" max="7" width="12.57421875" style="0" customWidth="1"/>
    <col min="8" max="8" width="13.28125" style="0" customWidth="1"/>
    <col min="9" max="9" width="11.8515625" style="0" customWidth="1"/>
    <col min="10" max="10" width="7.00390625" style="0" customWidth="1"/>
    <col min="11" max="11" width="13.8515625" style="0" customWidth="1"/>
    <col min="12" max="12" width="5.7109375" style="0" customWidth="1"/>
    <col min="13" max="13" width="12.140625" style="0" customWidth="1"/>
    <col min="14" max="14" width="7.28125" style="0" customWidth="1"/>
  </cols>
  <sheetData>
    <row r="1" spans="1:14" s="24" customFormat="1" ht="15">
      <c r="A1" s="19" t="s">
        <v>41</v>
      </c>
      <c r="B1" s="17" t="s">
        <v>51</v>
      </c>
      <c r="C1" s="17"/>
      <c r="D1" s="18"/>
      <c r="E1" s="18">
        <v>50061</v>
      </c>
      <c r="F1" s="18"/>
      <c r="G1" s="18"/>
      <c r="H1" s="18"/>
      <c r="I1" s="495" t="s">
        <v>29</v>
      </c>
      <c r="J1" s="495"/>
      <c r="K1" s="495"/>
      <c r="L1" s="18">
        <v>150</v>
      </c>
      <c r="M1" s="18"/>
      <c r="N1" s="18"/>
    </row>
    <row r="2" spans="1:14" s="24" customFormat="1" ht="15">
      <c r="A2" s="17" t="s">
        <v>1</v>
      </c>
      <c r="B2" s="17" t="s">
        <v>60</v>
      </c>
      <c r="C2" s="17"/>
      <c r="D2" s="18"/>
      <c r="E2" s="18"/>
      <c r="F2" s="18"/>
      <c r="G2" s="18"/>
      <c r="H2" s="18"/>
      <c r="I2" s="495" t="s">
        <v>2</v>
      </c>
      <c r="J2" s="495"/>
      <c r="K2" s="495"/>
      <c r="L2" s="18">
        <v>2</v>
      </c>
      <c r="M2" s="18"/>
      <c r="N2" s="18"/>
    </row>
    <row r="3" spans="1:14" s="24" customFormat="1" ht="15">
      <c r="A3" s="17" t="s">
        <v>0</v>
      </c>
      <c r="B3" s="17" t="s">
        <v>38</v>
      </c>
      <c r="C3" s="17"/>
      <c r="D3" s="18"/>
      <c r="E3" s="18"/>
      <c r="F3" s="18"/>
      <c r="G3" s="18"/>
      <c r="H3" s="18"/>
      <c r="I3" s="495" t="s">
        <v>3</v>
      </c>
      <c r="J3" s="495"/>
      <c r="K3" s="495"/>
      <c r="L3" s="18" t="s">
        <v>49</v>
      </c>
      <c r="M3" s="18"/>
      <c r="N3" s="18"/>
    </row>
    <row r="4" spans="1:14" s="24" customFormat="1" ht="15">
      <c r="A4" s="17" t="s">
        <v>4</v>
      </c>
      <c r="B4" s="17">
        <v>57</v>
      </c>
      <c r="C4" s="17"/>
      <c r="D4" s="18"/>
      <c r="E4" s="18"/>
      <c r="F4" s="18"/>
      <c r="G4" s="18"/>
      <c r="H4" s="18"/>
      <c r="I4" s="17" t="s">
        <v>31</v>
      </c>
      <c r="J4" s="17"/>
      <c r="K4" s="17"/>
      <c r="L4" s="18" t="s">
        <v>61</v>
      </c>
      <c r="M4" s="18"/>
      <c r="N4" s="18"/>
    </row>
    <row r="5" spans="1:14" ht="15" thickBot="1">
      <c r="A5" s="1"/>
      <c r="B5" s="1"/>
      <c r="C5" s="1"/>
      <c r="D5" s="1"/>
      <c r="E5" s="1"/>
      <c r="F5" s="1"/>
      <c r="G5" s="1"/>
      <c r="H5" s="1"/>
      <c r="I5" s="1"/>
      <c r="J5" s="1"/>
      <c r="K5" s="35"/>
      <c r="L5" s="35" t="s">
        <v>65</v>
      </c>
      <c r="M5" s="35"/>
      <c r="N5" s="1"/>
    </row>
    <row r="6" spans="1:14" ht="13.5" thickTop="1">
      <c r="A6" s="376" t="s">
        <v>5</v>
      </c>
      <c r="B6" s="377"/>
      <c r="C6" s="377"/>
      <c r="D6" s="377"/>
      <c r="E6" s="377"/>
      <c r="F6" s="377"/>
      <c r="G6" s="377"/>
      <c r="H6" s="377"/>
      <c r="I6" s="377"/>
      <c r="J6" s="377"/>
      <c r="K6" s="377"/>
      <c r="L6" s="377"/>
      <c r="M6" s="377"/>
      <c r="N6" s="378"/>
    </row>
    <row r="7" spans="1:14" ht="13.5" thickBot="1">
      <c r="A7" s="379"/>
      <c r="B7" s="380"/>
      <c r="C7" s="380"/>
      <c r="D7" s="380"/>
      <c r="E7" s="380"/>
      <c r="F7" s="380"/>
      <c r="G7" s="380"/>
      <c r="H7" s="380"/>
      <c r="I7" s="380"/>
      <c r="J7" s="380"/>
      <c r="K7" s="380"/>
      <c r="L7" s="380"/>
      <c r="M7" s="380"/>
      <c r="N7" s="381"/>
    </row>
    <row r="8" spans="1:14" ht="16.5" thickBot="1" thickTop="1">
      <c r="A8" s="369" t="s">
        <v>6</v>
      </c>
      <c r="B8" s="357" t="s">
        <v>7</v>
      </c>
      <c r="C8" s="361"/>
      <c r="D8" s="358"/>
      <c r="E8" s="357" t="s">
        <v>11</v>
      </c>
      <c r="F8" s="358"/>
      <c r="G8" s="382" t="s">
        <v>15</v>
      </c>
      <c r="H8" s="383"/>
      <c r="I8" s="383"/>
      <c r="J8" s="383"/>
      <c r="K8" s="383"/>
      <c r="L8" s="383"/>
      <c r="M8" s="383"/>
      <c r="N8" s="384"/>
    </row>
    <row r="9" spans="1:14" ht="13.5" thickTop="1">
      <c r="A9" s="370"/>
      <c r="B9" s="399" t="s">
        <v>8</v>
      </c>
      <c r="C9" s="372"/>
      <c r="D9" s="373" t="s">
        <v>9</v>
      </c>
      <c r="E9" s="466" t="s">
        <v>10</v>
      </c>
      <c r="F9" s="373" t="s">
        <v>9</v>
      </c>
      <c r="G9" s="502" t="s">
        <v>27</v>
      </c>
      <c r="H9" s="503"/>
      <c r="I9" s="375" t="s">
        <v>28</v>
      </c>
      <c r="J9" s="356"/>
      <c r="K9" s="375" t="s">
        <v>13</v>
      </c>
      <c r="L9" s="356"/>
      <c r="M9" s="375" t="s">
        <v>14</v>
      </c>
      <c r="N9" s="356"/>
    </row>
    <row r="10" spans="1:14" ht="15" thickBot="1">
      <c r="A10" s="371"/>
      <c r="B10" s="469"/>
      <c r="C10" s="394"/>
      <c r="D10" s="374"/>
      <c r="E10" s="467"/>
      <c r="F10" s="374"/>
      <c r="G10" s="11" t="s">
        <v>114</v>
      </c>
      <c r="H10" s="3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5.75" customHeight="1" thickTop="1">
      <c r="A11" s="494" t="s">
        <v>16</v>
      </c>
      <c r="B11" s="51" t="s">
        <v>94</v>
      </c>
      <c r="C11" s="185">
        <v>847</v>
      </c>
      <c r="D11" s="186">
        <f>(6.29+3.187+0.437+0.015)*1.075*1.2</f>
        <v>12.808409999999999</v>
      </c>
      <c r="E11" s="466">
        <v>3</v>
      </c>
      <c r="F11" s="373">
        <v>52.47</v>
      </c>
      <c r="G11" s="217"/>
      <c r="H11" s="218"/>
      <c r="I11" s="6"/>
      <c r="J11" s="7"/>
      <c r="K11" s="6"/>
      <c r="L11" s="7"/>
      <c r="M11" s="6"/>
      <c r="N11" s="7"/>
    </row>
    <row r="12" spans="1:14" ht="15" customHeight="1">
      <c r="A12" s="455"/>
      <c r="B12" s="55" t="s">
        <v>95</v>
      </c>
      <c r="C12" s="89">
        <v>268</v>
      </c>
      <c r="D12" s="187">
        <f>(4.04+0.797+0.437+0.015)*1.075*1.2</f>
        <v>6.82281</v>
      </c>
      <c r="E12" s="473"/>
      <c r="F12" s="478"/>
      <c r="G12" s="219"/>
      <c r="H12" s="220"/>
      <c r="I12" s="6"/>
      <c r="J12" s="7"/>
      <c r="K12" s="6"/>
      <c r="L12" s="7"/>
      <c r="M12" s="6"/>
      <c r="N12" s="7"/>
    </row>
    <row r="13" spans="1:14" ht="15" customHeight="1" thickBot="1">
      <c r="A13" s="455"/>
      <c r="B13" s="55" t="s">
        <v>113</v>
      </c>
      <c r="C13" s="149">
        <v>17.25</v>
      </c>
      <c r="D13" s="189">
        <f>49.291*1.075*1.2</f>
        <v>63.58538999999999</v>
      </c>
      <c r="E13" s="473"/>
      <c r="F13" s="478"/>
      <c r="G13" s="219"/>
      <c r="H13" s="220"/>
      <c r="I13" s="6"/>
      <c r="J13" s="7"/>
      <c r="K13" s="6"/>
      <c r="L13" s="7"/>
      <c r="M13" s="6"/>
      <c r="N13" s="7"/>
    </row>
    <row r="14" spans="1:14" ht="12.75" customHeight="1" thickTop="1">
      <c r="A14" s="454" t="s">
        <v>17</v>
      </c>
      <c r="B14" s="51" t="s">
        <v>94</v>
      </c>
      <c r="C14" s="91">
        <v>860</v>
      </c>
      <c r="D14" s="186">
        <f>(6.29+3.485+0.437+0.015)*1.075*1.2</f>
        <v>13.19283</v>
      </c>
      <c r="E14" s="472">
        <v>4</v>
      </c>
      <c r="F14" s="363">
        <v>52.47</v>
      </c>
      <c r="G14" s="223"/>
      <c r="H14" s="224"/>
      <c r="I14" s="9"/>
      <c r="J14" s="10"/>
      <c r="K14" s="9"/>
      <c r="L14" s="10"/>
      <c r="M14" s="9"/>
      <c r="N14" s="10"/>
    </row>
    <row r="15" spans="1:14" ht="14.25" customHeight="1">
      <c r="A15" s="455"/>
      <c r="B15" s="55" t="s">
        <v>95</v>
      </c>
      <c r="C15" s="92">
        <v>188</v>
      </c>
      <c r="D15" s="187">
        <f>(4.04+0.871+0.437+0.015)*1.075*1.2</f>
        <v>6.918269999999999</v>
      </c>
      <c r="E15" s="473"/>
      <c r="F15" s="478"/>
      <c r="G15" s="219"/>
      <c r="H15" s="220"/>
      <c r="I15" s="6"/>
      <c r="J15" s="7"/>
      <c r="K15" s="6"/>
      <c r="L15" s="7"/>
      <c r="M15" s="6"/>
      <c r="N15" s="7"/>
    </row>
    <row r="16" spans="1:14" ht="14.25" customHeight="1" thickBot="1">
      <c r="A16" s="455"/>
      <c r="B16" s="55" t="s">
        <v>113</v>
      </c>
      <c r="C16" s="92">
        <v>17.25</v>
      </c>
      <c r="D16" s="189">
        <f>49.863*1.075*1.2</f>
        <v>64.32327</v>
      </c>
      <c r="E16" s="473"/>
      <c r="F16" s="478"/>
      <c r="G16" s="219"/>
      <c r="H16" s="220"/>
      <c r="I16" s="6"/>
      <c r="J16" s="7"/>
      <c r="K16" s="6"/>
      <c r="L16" s="7"/>
      <c r="M16" s="6"/>
      <c r="N16" s="7"/>
    </row>
    <row r="17" spans="1:14" ht="12.75" customHeight="1" thickTop="1">
      <c r="A17" s="454" t="s">
        <v>18</v>
      </c>
      <c r="B17" s="51" t="s">
        <v>94</v>
      </c>
      <c r="C17" s="168">
        <v>895</v>
      </c>
      <c r="D17" s="186">
        <f>(6.29+3.485+0.437+0.015)*1.075*1.2</f>
        <v>13.19283</v>
      </c>
      <c r="E17" s="472">
        <v>1</v>
      </c>
      <c r="F17" s="363">
        <v>52.47</v>
      </c>
      <c r="G17" s="223"/>
      <c r="H17" s="224"/>
      <c r="I17" s="9"/>
      <c r="J17" s="10"/>
      <c r="K17" s="9"/>
      <c r="L17" s="10"/>
      <c r="M17" s="9"/>
      <c r="N17" s="10"/>
    </row>
    <row r="18" spans="1:14" ht="14.25" customHeight="1">
      <c r="A18" s="455"/>
      <c r="B18" s="55" t="s">
        <v>95</v>
      </c>
      <c r="C18" s="92">
        <v>227</v>
      </c>
      <c r="D18" s="187">
        <f>(4.04+0.871+0.437+0.015)*1.075*1.2</f>
        <v>6.918269999999999</v>
      </c>
      <c r="E18" s="473"/>
      <c r="F18" s="478"/>
      <c r="G18" s="219"/>
      <c r="H18" s="220"/>
      <c r="I18" s="6"/>
      <c r="J18" s="7"/>
      <c r="K18" s="6"/>
      <c r="L18" s="7"/>
      <c r="M18" s="6"/>
      <c r="N18" s="7"/>
    </row>
    <row r="19" spans="1:14" ht="14.25" customHeight="1" thickBot="1">
      <c r="A19" s="455"/>
      <c r="B19" s="55" t="s">
        <v>113</v>
      </c>
      <c r="C19" s="92">
        <v>17.25</v>
      </c>
      <c r="D19" s="189">
        <f>49.863*1.075*1.2</f>
        <v>64.32327</v>
      </c>
      <c r="E19" s="473"/>
      <c r="F19" s="478"/>
      <c r="G19" s="219"/>
      <c r="H19" s="220"/>
      <c r="I19" s="6"/>
      <c r="J19" s="7"/>
      <c r="K19" s="6"/>
      <c r="L19" s="7"/>
      <c r="M19" s="6"/>
      <c r="N19" s="7"/>
    </row>
    <row r="20" spans="1:14" ht="13.5" thickTop="1">
      <c r="A20" s="454" t="s">
        <v>19</v>
      </c>
      <c r="B20" s="51" t="s">
        <v>94</v>
      </c>
      <c r="C20" s="91">
        <v>714</v>
      </c>
      <c r="D20" s="186">
        <f>(6.29+3.485+0.437+0.015)*1.075*1.2</f>
        <v>13.19283</v>
      </c>
      <c r="E20" s="472">
        <v>2</v>
      </c>
      <c r="F20" s="363">
        <v>52.47</v>
      </c>
      <c r="G20" s="223"/>
      <c r="H20" s="224"/>
      <c r="I20" s="9"/>
      <c r="J20" s="10"/>
      <c r="K20" s="9"/>
      <c r="L20" s="10"/>
      <c r="M20" s="9"/>
      <c r="N20" s="10"/>
    </row>
    <row r="21" spans="1:14" ht="15" customHeight="1">
      <c r="A21" s="455"/>
      <c r="B21" s="55" t="s">
        <v>95</v>
      </c>
      <c r="C21" s="92">
        <v>207</v>
      </c>
      <c r="D21" s="187">
        <f>(4.04+0.871+0.437+0.015)*1.075*1.2</f>
        <v>6.918269999999999</v>
      </c>
      <c r="E21" s="473"/>
      <c r="F21" s="478"/>
      <c r="G21" s="219"/>
      <c r="H21" s="220"/>
      <c r="I21" s="6"/>
      <c r="J21" s="7"/>
      <c r="K21" s="6"/>
      <c r="L21" s="7"/>
      <c r="M21" s="6"/>
      <c r="N21" s="7"/>
    </row>
    <row r="22" spans="1:14" ht="15" customHeight="1" thickBot="1">
      <c r="A22" s="455"/>
      <c r="B22" s="55" t="s">
        <v>113</v>
      </c>
      <c r="C22" s="92">
        <v>17.25</v>
      </c>
      <c r="D22" s="189">
        <f>49.863*1.075*1.2</f>
        <v>64.32327</v>
      </c>
      <c r="E22" s="473"/>
      <c r="F22" s="478"/>
      <c r="G22" s="219"/>
      <c r="H22" s="220"/>
      <c r="I22" s="6"/>
      <c r="J22" s="7"/>
      <c r="K22" s="6"/>
      <c r="L22" s="7"/>
      <c r="M22" s="6"/>
      <c r="N22" s="7"/>
    </row>
    <row r="23" spans="1:14" ht="13.5" thickTop="1">
      <c r="A23" s="454" t="s">
        <v>20</v>
      </c>
      <c r="B23" s="51" t="s">
        <v>94</v>
      </c>
      <c r="C23" s="168">
        <v>158</v>
      </c>
      <c r="D23" s="186">
        <f>(6.29+3.485+0.437+0.015)*1.075*1.2</f>
        <v>13.19283</v>
      </c>
      <c r="E23" s="472">
        <v>2</v>
      </c>
      <c r="F23" s="363">
        <v>52.47</v>
      </c>
      <c r="G23" s="223"/>
      <c r="H23" s="224"/>
      <c r="I23" s="9"/>
      <c r="J23" s="10"/>
      <c r="K23" s="9"/>
      <c r="L23" s="10"/>
      <c r="M23" s="9"/>
      <c r="N23" s="10"/>
    </row>
    <row r="24" spans="1:14" ht="15" customHeight="1">
      <c r="A24" s="455"/>
      <c r="B24" s="55" t="s">
        <v>95</v>
      </c>
      <c r="C24" s="93">
        <v>78</v>
      </c>
      <c r="D24" s="187">
        <f>(4.04+0.871+0.437+0.015)*1.075*1.2</f>
        <v>6.918269999999999</v>
      </c>
      <c r="E24" s="473"/>
      <c r="F24" s="478"/>
      <c r="G24" s="219"/>
      <c r="H24" s="220"/>
      <c r="I24" s="6"/>
      <c r="J24" s="7"/>
      <c r="K24" s="6"/>
      <c r="L24" s="7"/>
      <c r="M24" s="6"/>
      <c r="N24" s="7"/>
    </row>
    <row r="25" spans="1:14" ht="15" customHeight="1" thickBot="1">
      <c r="A25" s="455"/>
      <c r="B25" s="55" t="s">
        <v>113</v>
      </c>
      <c r="C25" s="92">
        <v>17.25</v>
      </c>
      <c r="D25" s="189">
        <f>49.863*1.075*1.2</f>
        <v>64.32327</v>
      </c>
      <c r="E25" s="473"/>
      <c r="F25" s="478"/>
      <c r="G25" s="219"/>
      <c r="H25" s="220"/>
      <c r="I25" s="6"/>
      <c r="J25" s="7"/>
      <c r="K25" s="6"/>
      <c r="L25" s="7"/>
      <c r="M25" s="6"/>
      <c r="N25" s="7"/>
    </row>
    <row r="26" spans="1:14" ht="13.5" thickTop="1">
      <c r="A26" s="454" t="s">
        <v>68</v>
      </c>
      <c r="B26" s="51" t="s">
        <v>94</v>
      </c>
      <c r="C26" s="91">
        <v>60</v>
      </c>
      <c r="D26" s="186">
        <f>(6.29+3.485+0.437+0.015)*1.075*1.2</f>
        <v>13.19283</v>
      </c>
      <c r="E26" s="472">
        <v>2</v>
      </c>
      <c r="F26" s="363">
        <v>52.47</v>
      </c>
      <c r="G26" s="223"/>
      <c r="H26" s="224"/>
      <c r="I26" s="9"/>
      <c r="J26" s="10"/>
      <c r="K26" s="9"/>
      <c r="L26" s="10"/>
      <c r="M26" s="9"/>
      <c r="N26" s="10"/>
    </row>
    <row r="27" spans="1:14" ht="15" customHeight="1">
      <c r="A27" s="455"/>
      <c r="B27" s="55" t="s">
        <v>95</v>
      </c>
      <c r="C27" s="92">
        <v>30</v>
      </c>
      <c r="D27" s="187">
        <f>(4.04+0.871+0.437+0.015)*1.075*1.2</f>
        <v>6.918269999999999</v>
      </c>
      <c r="E27" s="473"/>
      <c r="F27" s="478"/>
      <c r="G27" s="219"/>
      <c r="H27" s="220"/>
      <c r="I27" s="6"/>
      <c r="J27" s="7"/>
      <c r="K27" s="6"/>
      <c r="L27" s="7"/>
      <c r="M27" s="6"/>
      <c r="N27" s="7"/>
    </row>
    <row r="28" spans="1:14" ht="15" customHeight="1" thickBot="1">
      <c r="A28" s="455"/>
      <c r="B28" s="55" t="s">
        <v>113</v>
      </c>
      <c r="C28" s="92">
        <v>17.25</v>
      </c>
      <c r="D28" s="189">
        <f>49.863*1.075*1.2</f>
        <v>64.32327</v>
      </c>
      <c r="E28" s="473"/>
      <c r="F28" s="478"/>
      <c r="G28" s="219"/>
      <c r="H28" s="220"/>
      <c r="I28" s="6"/>
      <c r="J28" s="7"/>
      <c r="K28" s="6"/>
      <c r="L28" s="7"/>
      <c r="M28" s="6"/>
      <c r="N28" s="7"/>
    </row>
    <row r="29" spans="1:14" ht="13.5" thickTop="1">
      <c r="A29" s="454" t="s">
        <v>69</v>
      </c>
      <c r="B29" s="51" t="s">
        <v>94</v>
      </c>
      <c r="C29" s="91">
        <v>20</v>
      </c>
      <c r="D29" s="186">
        <f>(6.29+3.485+0.437+0.015)*1.075*1.2</f>
        <v>13.19283</v>
      </c>
      <c r="E29" s="472">
        <v>1</v>
      </c>
      <c r="F29" s="363">
        <v>52.47</v>
      </c>
      <c r="G29" s="223"/>
      <c r="H29" s="224"/>
      <c r="I29" s="9"/>
      <c r="J29" s="10"/>
      <c r="K29" s="9"/>
      <c r="L29" s="10"/>
      <c r="M29" s="9"/>
      <c r="N29" s="10"/>
    </row>
    <row r="30" spans="1:14" ht="15" customHeight="1">
      <c r="A30" s="455"/>
      <c r="B30" s="55" t="s">
        <v>95</v>
      </c>
      <c r="C30" s="92">
        <v>28</v>
      </c>
      <c r="D30" s="187">
        <f>(4.04+0.871+0.437+0.015)*1.075*1.2</f>
        <v>6.918269999999999</v>
      </c>
      <c r="E30" s="473"/>
      <c r="F30" s="478"/>
      <c r="G30" s="219"/>
      <c r="H30" s="220"/>
      <c r="I30" s="6"/>
      <c r="J30" s="7"/>
      <c r="K30" s="6"/>
      <c r="L30" s="7"/>
      <c r="M30" s="6"/>
      <c r="N30" s="7"/>
    </row>
    <row r="31" spans="1:14" ht="15" customHeight="1" thickBot="1">
      <c r="A31" s="455"/>
      <c r="B31" s="55" t="s">
        <v>113</v>
      </c>
      <c r="C31" s="92">
        <v>17.25</v>
      </c>
      <c r="D31" s="189">
        <f>49.863*1.075*1.2</f>
        <v>64.32327</v>
      </c>
      <c r="E31" s="473"/>
      <c r="F31" s="478"/>
      <c r="G31" s="219"/>
      <c r="H31" s="220"/>
      <c r="I31" s="6"/>
      <c r="J31" s="7"/>
      <c r="K31" s="6"/>
      <c r="L31" s="7"/>
      <c r="M31" s="6"/>
      <c r="N31" s="7"/>
    </row>
    <row r="32" spans="1:14" ht="13.5" thickTop="1">
      <c r="A32" s="454" t="s">
        <v>22</v>
      </c>
      <c r="B32" s="51" t="s">
        <v>94</v>
      </c>
      <c r="C32" s="91">
        <v>26</v>
      </c>
      <c r="D32" s="186">
        <f>(6.29+3.485+0.437+0.015)*1.075*1.2</f>
        <v>13.19283</v>
      </c>
      <c r="E32" s="472">
        <v>0</v>
      </c>
      <c r="F32" s="363">
        <v>52.47</v>
      </c>
      <c r="G32" s="225"/>
      <c r="H32" s="226"/>
      <c r="I32" s="12"/>
      <c r="J32" s="13"/>
      <c r="K32" s="12"/>
      <c r="L32" s="13"/>
      <c r="M32" s="12"/>
      <c r="N32" s="13"/>
    </row>
    <row r="33" spans="1:14" ht="15" customHeight="1">
      <c r="A33" s="455"/>
      <c r="B33" s="55" t="s">
        <v>95</v>
      </c>
      <c r="C33" s="92">
        <v>29</v>
      </c>
      <c r="D33" s="187">
        <f>(4.04+0.871+0.437+0.015)*1.075*1.2</f>
        <v>6.918269999999999</v>
      </c>
      <c r="E33" s="473"/>
      <c r="F33" s="478"/>
      <c r="G33" s="225"/>
      <c r="H33" s="226"/>
      <c r="I33" s="12"/>
      <c r="J33" s="13"/>
      <c r="K33" s="12"/>
      <c r="L33" s="13"/>
      <c r="M33" s="12"/>
      <c r="N33" s="13"/>
    </row>
    <row r="34" spans="1:14" ht="15" customHeight="1" thickBot="1">
      <c r="A34" s="455"/>
      <c r="B34" s="55" t="s">
        <v>113</v>
      </c>
      <c r="C34" s="92">
        <v>17.25</v>
      </c>
      <c r="D34" s="189">
        <f>49.863*1.075*1.2</f>
        <v>64.32327</v>
      </c>
      <c r="E34" s="473"/>
      <c r="F34" s="478"/>
      <c r="G34" s="225"/>
      <c r="H34" s="226"/>
      <c r="I34" s="12"/>
      <c r="J34" s="13"/>
      <c r="K34" s="12"/>
      <c r="L34" s="13"/>
      <c r="M34" s="12"/>
      <c r="N34" s="13"/>
    </row>
    <row r="35" spans="1:14" ht="12.75">
      <c r="A35" s="574" t="s">
        <v>23</v>
      </c>
      <c r="B35" s="155" t="s">
        <v>94</v>
      </c>
      <c r="C35" s="108">
        <v>57</v>
      </c>
      <c r="D35" s="186">
        <f>(9.7+3.485+0.437+0.015)*1.075*1.2</f>
        <v>17.59173</v>
      </c>
      <c r="E35" s="577">
        <v>3</v>
      </c>
      <c r="F35" s="572">
        <v>58.17</v>
      </c>
      <c r="G35" s="295"/>
      <c r="H35" s="230"/>
      <c r="I35" s="4"/>
      <c r="J35" s="5"/>
      <c r="K35" s="4"/>
      <c r="L35" s="5"/>
      <c r="M35" s="4"/>
      <c r="N35" s="5"/>
    </row>
    <row r="36" spans="1:14" ht="15" customHeight="1">
      <c r="A36" s="575"/>
      <c r="B36" s="55" t="s">
        <v>95</v>
      </c>
      <c r="C36" s="212">
        <v>31</v>
      </c>
      <c r="D36" s="187">
        <f>(6.15+0.871+0.437+0.015)*1.075*1.2</f>
        <v>9.640170000000001</v>
      </c>
      <c r="E36" s="473"/>
      <c r="F36" s="531"/>
      <c r="G36" s="295"/>
      <c r="H36" s="230"/>
      <c r="I36" s="4"/>
      <c r="J36" s="5"/>
      <c r="K36" s="4"/>
      <c r="L36" s="5"/>
      <c r="M36" s="4"/>
      <c r="N36" s="5"/>
    </row>
    <row r="37" spans="1:14" ht="15" customHeight="1" thickBot="1">
      <c r="A37" s="576"/>
      <c r="B37" s="156" t="s">
        <v>113</v>
      </c>
      <c r="C37" s="213">
        <v>17.25</v>
      </c>
      <c r="D37" s="189">
        <f>49.863*1.075*1.2</f>
        <v>64.32327</v>
      </c>
      <c r="E37" s="578"/>
      <c r="F37" s="557"/>
      <c r="G37" s="295"/>
      <c r="H37" s="230"/>
      <c r="I37" s="4"/>
      <c r="J37" s="5"/>
      <c r="K37" s="4"/>
      <c r="L37" s="5"/>
      <c r="M37" s="4"/>
      <c r="N37" s="5"/>
    </row>
    <row r="38" spans="1:14" ht="12.75">
      <c r="A38" s="455" t="s">
        <v>24</v>
      </c>
      <c r="B38" s="55" t="s">
        <v>94</v>
      </c>
      <c r="C38" s="92">
        <v>856</v>
      </c>
      <c r="D38" s="186">
        <f>(9.7+3.879+0.437+0.015)*1.075*1.2</f>
        <v>18.09999</v>
      </c>
      <c r="E38" s="473">
        <v>11</v>
      </c>
      <c r="F38" s="478">
        <v>58.17</v>
      </c>
      <c r="G38" s="229"/>
      <c r="H38" s="230"/>
      <c r="I38" s="4"/>
      <c r="J38" s="5"/>
      <c r="K38" s="4"/>
      <c r="L38" s="5"/>
      <c r="M38" s="4"/>
      <c r="N38" s="5"/>
    </row>
    <row r="39" spans="1:14" ht="15" customHeight="1">
      <c r="A39" s="455"/>
      <c r="B39" s="55" t="s">
        <v>95</v>
      </c>
      <c r="C39" s="92">
        <v>575</v>
      </c>
      <c r="D39" s="187">
        <f>(6.15+0.97+0.437+0.015)*1.075*1.2</f>
        <v>9.767879999999998</v>
      </c>
      <c r="E39" s="473"/>
      <c r="F39" s="478"/>
      <c r="G39" s="229"/>
      <c r="H39" s="230"/>
      <c r="I39" s="4"/>
      <c r="J39" s="5"/>
      <c r="K39" s="4"/>
      <c r="L39" s="5"/>
      <c r="M39" s="4"/>
      <c r="N39" s="5"/>
    </row>
    <row r="40" spans="1:14" ht="15" customHeight="1" thickBot="1">
      <c r="A40" s="455"/>
      <c r="B40" s="55" t="s">
        <v>113</v>
      </c>
      <c r="C40" s="92">
        <v>17.25</v>
      </c>
      <c r="D40" s="189">
        <f>54.258*1.075*1.2</f>
        <v>69.99282</v>
      </c>
      <c r="E40" s="473"/>
      <c r="F40" s="478"/>
      <c r="G40" s="229"/>
      <c r="H40" s="230"/>
      <c r="I40" s="4"/>
      <c r="J40" s="5"/>
      <c r="K40" s="4"/>
      <c r="L40" s="5"/>
      <c r="M40" s="4"/>
      <c r="N40" s="5"/>
    </row>
    <row r="41" spans="1:14" ht="13.5" thickTop="1">
      <c r="A41" s="454" t="s">
        <v>25</v>
      </c>
      <c r="B41" s="51" t="s">
        <v>94</v>
      </c>
      <c r="C41" s="91">
        <v>911</v>
      </c>
      <c r="D41" s="186">
        <f>(9.7+3.879+0.437+0.015)*1.075*1.2</f>
        <v>18.09999</v>
      </c>
      <c r="E41" s="472">
        <v>2</v>
      </c>
      <c r="F41" s="363">
        <v>58.17</v>
      </c>
      <c r="G41" s="229"/>
      <c r="H41" s="230"/>
      <c r="I41" s="4"/>
      <c r="J41" s="5"/>
      <c r="K41" s="4"/>
      <c r="L41" s="5"/>
      <c r="M41" s="4"/>
      <c r="N41" s="5"/>
    </row>
    <row r="42" spans="1:14" ht="15" customHeight="1">
      <c r="A42" s="455"/>
      <c r="B42" s="55" t="s">
        <v>95</v>
      </c>
      <c r="C42" s="92">
        <v>678</v>
      </c>
      <c r="D42" s="187">
        <f>(6.15+0.97+0.437+0.015)*1.075*1.2</f>
        <v>9.767879999999998</v>
      </c>
      <c r="E42" s="473"/>
      <c r="F42" s="478"/>
      <c r="G42" s="229"/>
      <c r="H42" s="230"/>
      <c r="I42" s="4"/>
      <c r="J42" s="5"/>
      <c r="K42" s="4"/>
      <c r="L42" s="5"/>
      <c r="M42" s="4"/>
      <c r="N42" s="5"/>
    </row>
    <row r="43" spans="1:14" ht="15" customHeight="1" thickBot="1">
      <c r="A43" s="455"/>
      <c r="B43" s="55" t="s">
        <v>113</v>
      </c>
      <c r="C43" s="92">
        <v>17.25</v>
      </c>
      <c r="D43" s="189">
        <f>54.258*1.075*1.2</f>
        <v>69.99282</v>
      </c>
      <c r="E43" s="473"/>
      <c r="F43" s="478"/>
      <c r="G43" s="229"/>
      <c r="H43" s="230"/>
      <c r="I43" s="4"/>
      <c r="J43" s="5"/>
      <c r="K43" s="4"/>
      <c r="L43" s="5"/>
      <c r="M43" s="4"/>
      <c r="N43" s="5"/>
    </row>
    <row r="44" spans="1:14" ht="12.75">
      <c r="A44" s="458" t="s">
        <v>26</v>
      </c>
      <c r="B44" s="139" t="s">
        <v>94</v>
      </c>
      <c r="C44" s="98"/>
      <c r="D44" s="140"/>
      <c r="E44" s="498"/>
      <c r="F44" s="572"/>
      <c r="G44" s="296"/>
      <c r="H44" s="228"/>
      <c r="I44" s="9"/>
      <c r="J44" s="10"/>
      <c r="K44" s="9"/>
      <c r="L44" s="10"/>
      <c r="M44" s="9"/>
      <c r="N44" s="10"/>
    </row>
    <row r="45" spans="1:14" ht="15" customHeight="1">
      <c r="A45" s="459"/>
      <c r="B45" s="129" t="s">
        <v>95</v>
      </c>
      <c r="C45" s="92"/>
      <c r="D45" s="7"/>
      <c r="E45" s="464"/>
      <c r="F45" s="531"/>
      <c r="G45" s="296"/>
      <c r="H45" s="228"/>
      <c r="I45" s="9"/>
      <c r="J45" s="10"/>
      <c r="K45" s="9"/>
      <c r="L45" s="10"/>
      <c r="M45" s="9"/>
      <c r="N45" s="10"/>
    </row>
    <row r="46" spans="1:14" ht="15" customHeight="1" thickBot="1">
      <c r="A46" s="460"/>
      <c r="B46" s="141" t="s">
        <v>113</v>
      </c>
      <c r="C46" s="104"/>
      <c r="D46" s="142"/>
      <c r="E46" s="499"/>
      <c r="F46" s="573"/>
      <c r="G46" s="290"/>
      <c r="H46" s="290"/>
      <c r="I46" s="107"/>
      <c r="J46" s="107"/>
      <c r="K46" s="107"/>
      <c r="L46" s="107"/>
      <c r="M46" s="107"/>
      <c r="N46" s="107"/>
    </row>
    <row r="47" spans="1:14" s="20" customFormat="1" ht="14.25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</row>
    <row r="48" spans="1:14" s="27" customFormat="1" ht="12.75">
      <c r="A48" s="403" t="s">
        <v>32</v>
      </c>
      <c r="B48" s="403"/>
      <c r="C48" s="403"/>
      <c r="D48" s="404"/>
      <c r="E48" s="23"/>
      <c r="F48" s="23"/>
      <c r="G48" s="23"/>
      <c r="H48" s="23"/>
      <c r="I48" s="23"/>
      <c r="J48" s="23"/>
      <c r="K48" s="23"/>
      <c r="L48" s="23"/>
      <c r="M48" s="23"/>
      <c r="N48" s="23"/>
    </row>
    <row r="49" spans="1:14" s="27" customFormat="1" ht="12.75">
      <c r="A49" s="23"/>
      <c r="B49" s="22" t="s">
        <v>33</v>
      </c>
      <c r="C49" s="22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</row>
    <row r="50" spans="1:14" s="27" customFormat="1" ht="12.75">
      <c r="A50" s="23"/>
      <c r="B50" s="403" t="s">
        <v>35</v>
      </c>
      <c r="C50" s="403"/>
      <c r="D50" s="403"/>
      <c r="E50" s="404"/>
      <c r="F50" s="23"/>
      <c r="G50" s="23"/>
      <c r="H50" s="23"/>
      <c r="I50" s="23"/>
      <c r="J50" s="23"/>
      <c r="K50" s="23"/>
      <c r="L50" s="23"/>
      <c r="M50" s="23"/>
      <c r="N50" s="23"/>
    </row>
    <row r="51" spans="1:14" s="27" customFormat="1" ht="12.75">
      <c r="A51" s="23"/>
      <c r="B51" s="403" t="s">
        <v>34</v>
      </c>
      <c r="C51" s="403"/>
      <c r="D51" s="403"/>
      <c r="E51" s="23"/>
      <c r="F51" s="23"/>
      <c r="G51" s="23"/>
      <c r="H51" s="23"/>
      <c r="I51" s="23"/>
      <c r="J51" s="23"/>
      <c r="K51" s="23"/>
      <c r="L51" s="23"/>
      <c r="M51" s="23"/>
      <c r="N51" s="23"/>
    </row>
    <row r="52" spans="1:14" s="27" customFormat="1" ht="12.75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</row>
  </sheetData>
  <sheetProtection/>
  <mergeCells count="55">
    <mergeCell ref="A14:A16"/>
    <mergeCell ref="A8:A10"/>
    <mergeCell ref="B8:D8"/>
    <mergeCell ref="E8:F8"/>
    <mergeCell ref="A11:A13"/>
    <mergeCell ref="D9:D10"/>
    <mergeCell ref="E9:E10"/>
    <mergeCell ref="B9:C10"/>
    <mergeCell ref="M9:N9"/>
    <mergeCell ref="G8:N8"/>
    <mergeCell ref="E11:E13"/>
    <mergeCell ref="E14:E16"/>
    <mergeCell ref="K9:L9"/>
    <mergeCell ref="I9:J9"/>
    <mergeCell ref="F11:F13"/>
    <mergeCell ref="F14:F16"/>
    <mergeCell ref="F9:F10"/>
    <mergeCell ref="G9:H9"/>
    <mergeCell ref="I1:K1"/>
    <mergeCell ref="I2:K2"/>
    <mergeCell ref="I3:K3"/>
    <mergeCell ref="A6:N7"/>
    <mergeCell ref="A17:A19"/>
    <mergeCell ref="E17:E19"/>
    <mergeCell ref="A29:A31"/>
    <mergeCell ref="E29:E31"/>
    <mergeCell ref="A20:A22"/>
    <mergeCell ref="A23:A25"/>
    <mergeCell ref="A26:A28"/>
    <mergeCell ref="B50:E50"/>
    <mergeCell ref="B51:D51"/>
    <mergeCell ref="A48:D48"/>
    <mergeCell ref="F20:F22"/>
    <mergeCell ref="F29:F31"/>
    <mergeCell ref="A32:A34"/>
    <mergeCell ref="A35:A37"/>
    <mergeCell ref="E35:E37"/>
    <mergeCell ref="E32:E34"/>
    <mergeCell ref="F32:F34"/>
    <mergeCell ref="F17:F19"/>
    <mergeCell ref="E20:E22"/>
    <mergeCell ref="E26:E28"/>
    <mergeCell ref="F26:F28"/>
    <mergeCell ref="F23:F25"/>
    <mergeCell ref="E23:E25"/>
    <mergeCell ref="F35:F37"/>
    <mergeCell ref="A44:A46"/>
    <mergeCell ref="E44:E46"/>
    <mergeCell ref="F44:F46"/>
    <mergeCell ref="A41:A43"/>
    <mergeCell ref="E41:E43"/>
    <mergeCell ref="F41:F43"/>
    <mergeCell ref="A38:A40"/>
    <mergeCell ref="E38:E40"/>
    <mergeCell ref="F38:F40"/>
  </mergeCells>
  <printOptions/>
  <pageMargins left="0.1968503937007874" right="0.1968503937007874" top="0.38" bottom="0.5905511811023623" header="0.41" footer="0.31496062992125984"/>
  <pageSetup horizontalDpi="600" verticalDpi="600" orientation="landscape" paperSize="9" r:id="rId1"/>
  <headerFooter alignWithMargins="0">
    <oddFooter>&amp;L&amp;Z&amp;F&amp;R&amp;P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N47"/>
  <sheetViews>
    <sheetView zoomScalePageLayoutView="0" workbookViewId="0" topLeftCell="A22">
      <selection activeCell="G33" sqref="G33"/>
    </sheetView>
  </sheetViews>
  <sheetFormatPr defaultColWidth="9.140625" defaultRowHeight="12.75"/>
  <cols>
    <col min="1" max="1" width="16.140625" style="0" customWidth="1"/>
    <col min="2" max="2" width="7.57421875" style="0" customWidth="1"/>
    <col min="3" max="3" width="11.00390625" style="0" customWidth="1"/>
    <col min="4" max="4" width="7.421875" style="0" customWidth="1"/>
    <col min="5" max="5" width="12.140625" style="0" customWidth="1"/>
    <col min="6" max="6" width="6.00390625" style="0" customWidth="1"/>
    <col min="7" max="7" width="15.28125" style="0" customWidth="1"/>
    <col min="8" max="8" width="8.57421875" style="0" customWidth="1"/>
    <col min="9" max="9" width="11.7109375" style="0" customWidth="1"/>
    <col min="10" max="10" width="7.28125" style="0" customWidth="1"/>
    <col min="11" max="11" width="13.28125" style="0" customWidth="1"/>
    <col min="12" max="12" width="4.7109375" style="0" customWidth="1"/>
    <col min="13" max="14" width="12.421875" style="0" customWidth="1"/>
  </cols>
  <sheetData>
    <row r="1" spans="1:13" s="24" customFormat="1" ht="15" customHeight="1">
      <c r="A1" s="19" t="s">
        <v>41</v>
      </c>
      <c r="B1" s="17" t="s">
        <v>50</v>
      </c>
      <c r="C1" s="17"/>
      <c r="D1" s="17"/>
      <c r="E1" s="18"/>
      <c r="F1" s="18"/>
      <c r="G1" s="18"/>
      <c r="H1" s="17" t="s">
        <v>29</v>
      </c>
      <c r="I1" s="17"/>
      <c r="J1" s="17"/>
      <c r="K1" s="18">
        <v>879</v>
      </c>
      <c r="L1" s="18"/>
      <c r="M1" s="18"/>
    </row>
    <row r="2" spans="1:13" s="24" customFormat="1" ht="15" customHeight="1">
      <c r="A2" s="17" t="s">
        <v>1</v>
      </c>
      <c r="B2" s="17" t="s">
        <v>63</v>
      </c>
      <c r="C2" s="17"/>
      <c r="D2" s="17"/>
      <c r="E2" s="18"/>
      <c r="F2" s="18"/>
      <c r="G2" s="18"/>
      <c r="H2" s="17" t="s">
        <v>2</v>
      </c>
      <c r="I2" s="17"/>
      <c r="J2" s="17"/>
      <c r="K2" s="18">
        <v>3</v>
      </c>
      <c r="L2" s="18"/>
      <c r="M2" s="18"/>
    </row>
    <row r="3" spans="1:13" s="24" customFormat="1" ht="15" customHeight="1">
      <c r="A3" s="17" t="s">
        <v>0</v>
      </c>
      <c r="B3" s="17" t="s">
        <v>63</v>
      </c>
      <c r="C3" s="17"/>
      <c r="D3" s="17"/>
      <c r="E3" s="18"/>
      <c r="F3" s="18"/>
      <c r="G3" s="18"/>
      <c r="H3" s="17" t="s">
        <v>3</v>
      </c>
      <c r="I3" s="17"/>
      <c r="J3" s="17"/>
      <c r="K3" s="18" t="s">
        <v>49</v>
      </c>
      <c r="L3" s="18"/>
      <c r="M3" s="18"/>
    </row>
    <row r="4" spans="1:14" s="24" customFormat="1" ht="15" customHeight="1">
      <c r="A4" s="17" t="s">
        <v>4</v>
      </c>
      <c r="B4" s="17" t="s">
        <v>64</v>
      </c>
      <c r="C4" s="17"/>
      <c r="D4" s="17"/>
      <c r="E4" s="18"/>
      <c r="F4" s="18"/>
      <c r="G4" s="18"/>
      <c r="H4" s="17" t="s">
        <v>31</v>
      </c>
      <c r="I4" s="17"/>
      <c r="J4" s="17"/>
      <c r="K4" s="33" t="s">
        <v>62</v>
      </c>
      <c r="L4" s="21"/>
      <c r="M4" s="21"/>
      <c r="N4" s="21"/>
    </row>
    <row r="5" spans="1:13" ht="15" customHeight="1" thickBot="1">
      <c r="A5" s="1"/>
      <c r="B5" s="1"/>
      <c r="C5" s="1"/>
      <c r="D5" s="1"/>
      <c r="E5" s="1"/>
      <c r="F5" s="1"/>
      <c r="G5" s="1"/>
      <c r="H5" s="1"/>
      <c r="I5" s="1"/>
      <c r="J5" s="35"/>
      <c r="K5" s="35" t="s">
        <v>65</v>
      </c>
      <c r="L5" s="35"/>
      <c r="M5" s="1"/>
    </row>
    <row r="6" spans="1:14" ht="15" customHeight="1" thickTop="1">
      <c r="A6" s="376" t="s">
        <v>5</v>
      </c>
      <c r="B6" s="377"/>
      <c r="C6" s="377"/>
      <c r="D6" s="377"/>
      <c r="E6" s="377"/>
      <c r="F6" s="377"/>
      <c r="G6" s="377"/>
      <c r="H6" s="377"/>
      <c r="I6" s="377"/>
      <c r="J6" s="377"/>
      <c r="K6" s="377"/>
      <c r="L6" s="377"/>
      <c r="M6" s="377"/>
      <c r="N6" s="378"/>
    </row>
    <row r="7" spans="1:14" ht="15" customHeight="1" thickBot="1">
      <c r="A7" s="379"/>
      <c r="B7" s="380"/>
      <c r="C7" s="380"/>
      <c r="D7" s="380"/>
      <c r="E7" s="380"/>
      <c r="F7" s="380"/>
      <c r="G7" s="380"/>
      <c r="H7" s="380"/>
      <c r="I7" s="380"/>
      <c r="J7" s="380"/>
      <c r="K7" s="380"/>
      <c r="L7" s="380"/>
      <c r="M7" s="380"/>
      <c r="N7" s="381"/>
    </row>
    <row r="8" spans="1:14" ht="15" customHeight="1" thickBot="1" thickTop="1">
      <c r="A8" s="369" t="s">
        <v>6</v>
      </c>
      <c r="B8" s="357" t="s">
        <v>7</v>
      </c>
      <c r="C8" s="361"/>
      <c r="D8" s="358"/>
      <c r="E8" s="357" t="s">
        <v>11</v>
      </c>
      <c r="F8" s="358"/>
      <c r="G8" s="382" t="s">
        <v>15</v>
      </c>
      <c r="H8" s="383"/>
      <c r="I8" s="383"/>
      <c r="J8" s="383"/>
      <c r="K8" s="383"/>
      <c r="L8" s="383"/>
      <c r="M8" s="383"/>
      <c r="N8" s="384"/>
    </row>
    <row r="9" spans="1:14" ht="15" customHeight="1" thickTop="1">
      <c r="A9" s="370"/>
      <c r="B9" s="399" t="s">
        <v>8</v>
      </c>
      <c r="C9" s="372"/>
      <c r="D9" s="373" t="s">
        <v>9</v>
      </c>
      <c r="E9" s="466" t="s">
        <v>10</v>
      </c>
      <c r="F9" s="373" t="s">
        <v>9</v>
      </c>
      <c r="G9" s="502" t="s">
        <v>27</v>
      </c>
      <c r="H9" s="503"/>
      <c r="I9" s="375" t="s">
        <v>28</v>
      </c>
      <c r="J9" s="356"/>
      <c r="K9" s="375" t="s">
        <v>13</v>
      </c>
      <c r="L9" s="356"/>
      <c r="M9" s="375" t="s">
        <v>14</v>
      </c>
      <c r="N9" s="356"/>
    </row>
    <row r="10" spans="1:14" ht="15" customHeight="1" thickBot="1">
      <c r="A10" s="371"/>
      <c r="B10" s="582"/>
      <c r="C10" s="391"/>
      <c r="D10" s="478"/>
      <c r="E10" s="467"/>
      <c r="F10" s="374"/>
      <c r="G10" s="11" t="s">
        <v>114</v>
      </c>
      <c r="H10" s="3" t="s">
        <v>9</v>
      </c>
      <c r="I10" s="9" t="s">
        <v>12</v>
      </c>
      <c r="J10" s="10" t="s">
        <v>9</v>
      </c>
      <c r="K10" s="9" t="s">
        <v>10</v>
      </c>
      <c r="L10" s="10" t="s">
        <v>9</v>
      </c>
      <c r="M10" s="9" t="s">
        <v>30</v>
      </c>
      <c r="N10" s="10" t="s">
        <v>9</v>
      </c>
    </row>
    <row r="11" spans="1:14" ht="15" customHeight="1" thickTop="1">
      <c r="A11" s="359" t="s">
        <v>16</v>
      </c>
      <c r="B11" s="107" t="s">
        <v>100</v>
      </c>
      <c r="C11" s="185">
        <v>0</v>
      </c>
      <c r="D11" s="186">
        <f>(6.29+3.187+0.437+0.015)*1.075*1.2</f>
        <v>12.808409999999999</v>
      </c>
      <c r="E11" s="583"/>
      <c r="F11" s="584"/>
      <c r="G11" s="291"/>
      <c r="H11" s="297"/>
      <c r="I11" s="512"/>
      <c r="J11" s="512"/>
      <c r="K11" s="107"/>
      <c r="L11" s="107"/>
      <c r="M11" s="107"/>
      <c r="N11" s="107"/>
    </row>
    <row r="12" spans="1:14" ht="15" customHeight="1">
      <c r="A12" s="560"/>
      <c r="B12" s="108" t="s">
        <v>115</v>
      </c>
      <c r="C12" s="89">
        <v>0</v>
      </c>
      <c r="D12" s="187">
        <f>(4.04+0.797+0.437+0.015)*1.075*1.2</f>
        <v>6.82281</v>
      </c>
      <c r="E12" s="507"/>
      <c r="F12" s="510"/>
      <c r="G12" s="221"/>
      <c r="H12" s="298"/>
      <c r="I12" s="513"/>
      <c r="J12" s="513"/>
      <c r="K12" s="107"/>
      <c r="L12" s="107"/>
      <c r="M12" s="107"/>
      <c r="N12" s="107"/>
    </row>
    <row r="13" spans="1:14" ht="15" customHeight="1" thickBot="1">
      <c r="A13" s="396"/>
      <c r="B13" s="108" t="s">
        <v>111</v>
      </c>
      <c r="C13" s="149">
        <v>34.5</v>
      </c>
      <c r="D13" s="189">
        <f>49.291*1.075*1.2</f>
        <v>63.58538999999999</v>
      </c>
      <c r="E13" s="507"/>
      <c r="F13" s="510"/>
      <c r="G13" s="221"/>
      <c r="H13" s="298"/>
      <c r="I13" s="514"/>
      <c r="J13" s="514"/>
      <c r="K13" s="107"/>
      <c r="L13" s="107"/>
      <c r="M13" s="107"/>
      <c r="N13" s="107"/>
    </row>
    <row r="14" spans="1:14" ht="15" customHeight="1">
      <c r="A14" s="392" t="s">
        <v>17</v>
      </c>
      <c r="B14" s="107" t="s">
        <v>100</v>
      </c>
      <c r="C14" s="91">
        <v>0</v>
      </c>
      <c r="D14" s="186">
        <f>(6.29+4.04+0.437+0.015)*1.075*1.2</f>
        <v>13.90878</v>
      </c>
      <c r="E14" s="506"/>
      <c r="F14" s="509"/>
      <c r="G14" s="221"/>
      <c r="H14" s="298"/>
      <c r="I14" s="585"/>
      <c r="J14" s="512"/>
      <c r="K14" s="107"/>
      <c r="L14" s="107"/>
      <c r="M14" s="107"/>
      <c r="N14" s="107"/>
    </row>
    <row r="15" spans="1:14" ht="15" customHeight="1">
      <c r="A15" s="560"/>
      <c r="B15" s="107" t="s">
        <v>101</v>
      </c>
      <c r="C15" s="92">
        <v>0</v>
      </c>
      <c r="D15" s="187">
        <f>(4.04+0.871+0.437+0.015)*1.075*1.2</f>
        <v>6.918269999999999</v>
      </c>
      <c r="E15" s="507"/>
      <c r="F15" s="510"/>
      <c r="G15" s="221"/>
      <c r="H15" s="298"/>
      <c r="I15" s="586"/>
      <c r="J15" s="513"/>
      <c r="K15" s="107"/>
      <c r="L15" s="107"/>
      <c r="M15" s="107"/>
      <c r="N15" s="107"/>
    </row>
    <row r="16" spans="1:14" ht="15" customHeight="1" thickBot="1">
      <c r="A16" s="396"/>
      <c r="B16" s="107" t="s">
        <v>113</v>
      </c>
      <c r="C16" s="92">
        <v>34.5</v>
      </c>
      <c r="D16" s="189">
        <f>49.863*1.075*1.2</f>
        <v>64.32327</v>
      </c>
      <c r="E16" s="507"/>
      <c r="F16" s="510"/>
      <c r="G16" s="293"/>
      <c r="H16" s="299"/>
      <c r="I16" s="587"/>
      <c r="J16" s="514"/>
      <c r="K16" s="96"/>
      <c r="L16" s="5"/>
      <c r="M16" s="4"/>
      <c r="N16" s="5"/>
    </row>
    <row r="17" spans="1:14" ht="15" customHeight="1">
      <c r="A17" s="392" t="s">
        <v>18</v>
      </c>
      <c r="B17" s="107" t="s">
        <v>100</v>
      </c>
      <c r="C17" s="115">
        <v>0</v>
      </c>
      <c r="D17" s="186">
        <f>(6.29+4.04+0.437+0.015)*1.075*1.2</f>
        <v>13.90878</v>
      </c>
      <c r="E17" s="591"/>
      <c r="F17" s="594"/>
      <c r="G17" s="293"/>
      <c r="H17" s="294"/>
      <c r="I17" s="472"/>
      <c r="J17" s="363"/>
      <c r="K17" s="4"/>
      <c r="L17" s="5"/>
      <c r="M17" s="4"/>
      <c r="N17" s="5"/>
    </row>
    <row r="18" spans="1:14" ht="15" customHeight="1">
      <c r="A18" s="560"/>
      <c r="B18" s="108" t="s">
        <v>101</v>
      </c>
      <c r="C18" s="107">
        <v>0</v>
      </c>
      <c r="D18" s="187">
        <f>(4.04+0.871+0.437+0.015)*1.075*1.2</f>
        <v>6.918269999999999</v>
      </c>
      <c r="E18" s="592"/>
      <c r="F18" s="595"/>
      <c r="G18" s="293"/>
      <c r="H18" s="294"/>
      <c r="I18" s="473"/>
      <c r="J18" s="478"/>
      <c r="K18" s="4"/>
      <c r="L18" s="5"/>
      <c r="M18" s="4"/>
      <c r="N18" s="5"/>
    </row>
    <row r="19" spans="1:14" ht="15" customHeight="1" thickBot="1">
      <c r="A19" s="560"/>
      <c r="B19" s="107" t="s">
        <v>113</v>
      </c>
      <c r="C19" s="107">
        <v>34.5</v>
      </c>
      <c r="D19" s="189">
        <f>49.863*1.075*1.2</f>
        <v>64.32327</v>
      </c>
      <c r="E19" s="593"/>
      <c r="F19" s="596"/>
      <c r="G19" s="293"/>
      <c r="H19" s="294"/>
      <c r="I19" s="468"/>
      <c r="J19" s="364"/>
      <c r="K19" s="4"/>
      <c r="L19" s="5"/>
      <c r="M19" s="4"/>
      <c r="N19" s="5"/>
    </row>
    <row r="20" spans="1:14" ht="15" customHeight="1">
      <c r="A20" s="579" t="s">
        <v>19</v>
      </c>
      <c r="B20" s="107" t="s">
        <v>100</v>
      </c>
      <c r="C20" s="94">
        <v>0</v>
      </c>
      <c r="D20" s="186">
        <f>(6.29+4.04+0.437+0.015)*1.075*1.2</f>
        <v>13.90878</v>
      </c>
      <c r="E20" s="295"/>
      <c r="F20" s="230"/>
      <c r="G20" s="229"/>
      <c r="H20" s="230"/>
      <c r="I20" s="472"/>
      <c r="J20" s="363"/>
      <c r="K20" s="4"/>
      <c r="L20" s="5"/>
      <c r="M20" s="4"/>
      <c r="N20" s="5"/>
    </row>
    <row r="21" spans="1:14" ht="15" customHeight="1">
      <c r="A21" s="580"/>
      <c r="B21" s="108" t="s">
        <v>101</v>
      </c>
      <c r="C21" s="94">
        <v>0</v>
      </c>
      <c r="D21" s="187">
        <f>(4.04+0.871+0.437+0.015)*1.075*1.2</f>
        <v>6.918269999999999</v>
      </c>
      <c r="E21" s="295"/>
      <c r="F21" s="230"/>
      <c r="G21" s="229"/>
      <c r="H21" s="230"/>
      <c r="I21" s="473"/>
      <c r="J21" s="478"/>
      <c r="K21" s="4"/>
      <c r="L21" s="5"/>
      <c r="M21" s="4"/>
      <c r="N21" s="5"/>
    </row>
    <row r="22" spans="1:14" ht="15" customHeight="1" thickBot="1">
      <c r="A22" s="581"/>
      <c r="B22" s="107" t="s">
        <v>113</v>
      </c>
      <c r="C22" s="94">
        <v>34.5</v>
      </c>
      <c r="D22" s="189">
        <f>49.863*1.075*1.2</f>
        <v>64.32327</v>
      </c>
      <c r="E22" s="295"/>
      <c r="F22" s="230"/>
      <c r="G22" s="229"/>
      <c r="H22" s="230"/>
      <c r="I22" s="468"/>
      <c r="J22" s="364"/>
      <c r="K22" s="4"/>
      <c r="L22" s="5"/>
      <c r="M22" s="4"/>
      <c r="N22" s="5"/>
    </row>
    <row r="23" spans="1:14" ht="15" customHeight="1">
      <c r="A23" s="579" t="s">
        <v>20</v>
      </c>
      <c r="B23" s="107" t="s">
        <v>100</v>
      </c>
      <c r="C23" s="94">
        <v>0</v>
      </c>
      <c r="D23" s="186">
        <f>(6.29+4.04+0.437+0.015)*1.075*1.2</f>
        <v>13.90878</v>
      </c>
      <c r="E23" s="295"/>
      <c r="F23" s="230"/>
      <c r="G23" s="229"/>
      <c r="H23" s="230"/>
      <c r="I23" s="472"/>
      <c r="J23" s="363"/>
      <c r="K23" s="4"/>
      <c r="L23" s="5"/>
      <c r="M23" s="4"/>
      <c r="N23" s="5"/>
    </row>
    <row r="24" spans="1:14" ht="15" customHeight="1">
      <c r="A24" s="580"/>
      <c r="B24" s="108" t="s">
        <v>101</v>
      </c>
      <c r="C24" s="94">
        <v>0</v>
      </c>
      <c r="D24" s="187">
        <f>(4.04+0.871+0.437+0.015)*1.075*1.2</f>
        <v>6.918269999999999</v>
      </c>
      <c r="E24" s="295"/>
      <c r="F24" s="230"/>
      <c r="G24" s="229"/>
      <c r="H24" s="230"/>
      <c r="I24" s="473"/>
      <c r="J24" s="478"/>
      <c r="K24" s="4"/>
      <c r="L24" s="5"/>
      <c r="M24" s="4"/>
      <c r="N24" s="5"/>
    </row>
    <row r="25" spans="1:14" ht="15" customHeight="1" thickBot="1">
      <c r="A25" s="581"/>
      <c r="B25" s="107" t="s">
        <v>113</v>
      </c>
      <c r="C25" s="94">
        <v>34.5</v>
      </c>
      <c r="D25" s="189">
        <f>49.863*1.075*1.2</f>
        <v>64.32327</v>
      </c>
      <c r="E25" s="295"/>
      <c r="F25" s="230"/>
      <c r="G25" s="229"/>
      <c r="H25" s="230"/>
      <c r="I25" s="468"/>
      <c r="J25" s="364"/>
      <c r="K25" s="4"/>
      <c r="L25" s="5"/>
      <c r="M25" s="4"/>
      <c r="N25" s="5"/>
    </row>
    <row r="26" spans="1:14" ht="15" customHeight="1">
      <c r="A26" s="579" t="s">
        <v>21</v>
      </c>
      <c r="B26" s="107" t="s">
        <v>100</v>
      </c>
      <c r="C26" s="94">
        <v>0</v>
      </c>
      <c r="D26" s="186">
        <f>(6.29+4.04+0.437+0.015)*1.075*1.2</f>
        <v>13.90878</v>
      </c>
      <c r="E26" s="295"/>
      <c r="F26" s="230"/>
      <c r="G26" s="229"/>
      <c r="H26" s="230"/>
      <c r="I26" s="472"/>
      <c r="J26" s="363"/>
      <c r="K26" s="4"/>
      <c r="L26" s="5"/>
      <c r="M26" s="4"/>
      <c r="N26" s="5"/>
    </row>
    <row r="27" spans="1:14" ht="15" customHeight="1">
      <c r="A27" s="580"/>
      <c r="B27" s="108" t="s">
        <v>101</v>
      </c>
      <c r="C27" s="94">
        <v>0</v>
      </c>
      <c r="D27" s="187">
        <f>(4.04+0.871+0.437+0.015)*1.075*1.2</f>
        <v>6.918269999999999</v>
      </c>
      <c r="E27" s="295"/>
      <c r="F27" s="230"/>
      <c r="G27" s="229"/>
      <c r="H27" s="230"/>
      <c r="I27" s="473"/>
      <c r="J27" s="478"/>
      <c r="K27" s="4"/>
      <c r="L27" s="5"/>
      <c r="M27" s="4"/>
      <c r="N27" s="5"/>
    </row>
    <row r="28" spans="1:14" ht="15" customHeight="1" thickBot="1">
      <c r="A28" s="581"/>
      <c r="B28" s="107" t="s">
        <v>113</v>
      </c>
      <c r="C28" s="94">
        <v>34.5</v>
      </c>
      <c r="D28" s="189">
        <f>49.863*1.075*1.2</f>
        <v>64.32327</v>
      </c>
      <c r="E28" s="295"/>
      <c r="F28" s="230"/>
      <c r="G28" s="229"/>
      <c r="H28" s="230"/>
      <c r="I28" s="468"/>
      <c r="J28" s="364"/>
      <c r="K28" s="4"/>
      <c r="L28" s="5"/>
      <c r="M28" s="4"/>
      <c r="N28" s="5"/>
    </row>
    <row r="29" spans="1:14" ht="15" customHeight="1">
      <c r="A29" s="579" t="s">
        <v>69</v>
      </c>
      <c r="B29" s="107" t="s">
        <v>100</v>
      </c>
      <c r="C29" s="94">
        <v>0</v>
      </c>
      <c r="D29" s="186">
        <f>(6.29+4.04+0.437+0.015)*1.075*1.2</f>
        <v>13.90878</v>
      </c>
      <c r="E29" s="295"/>
      <c r="F29" s="230"/>
      <c r="G29" s="229"/>
      <c r="H29" s="230"/>
      <c r="I29" s="472"/>
      <c r="J29" s="363"/>
      <c r="K29" s="4"/>
      <c r="L29" s="5"/>
      <c r="M29" s="4"/>
      <c r="N29" s="5"/>
    </row>
    <row r="30" spans="1:14" ht="15" customHeight="1">
      <c r="A30" s="580"/>
      <c r="B30" s="108" t="s">
        <v>101</v>
      </c>
      <c r="C30" s="94">
        <v>0</v>
      </c>
      <c r="D30" s="187">
        <f>(4.04+0.871+0.437+0.015)*1.075*1.2</f>
        <v>6.918269999999999</v>
      </c>
      <c r="E30" s="295"/>
      <c r="F30" s="230"/>
      <c r="G30" s="229"/>
      <c r="H30" s="230"/>
      <c r="I30" s="473"/>
      <c r="J30" s="478"/>
      <c r="K30" s="4"/>
      <c r="L30" s="5"/>
      <c r="M30" s="4"/>
      <c r="N30" s="5"/>
    </row>
    <row r="31" spans="1:14" ht="15" customHeight="1" thickBot="1">
      <c r="A31" s="581"/>
      <c r="B31" s="107" t="s">
        <v>113</v>
      </c>
      <c r="C31" s="94">
        <v>34.5</v>
      </c>
      <c r="D31" s="189">
        <f>49.863*1.075*1.2</f>
        <v>64.32327</v>
      </c>
      <c r="E31" s="295"/>
      <c r="F31" s="230"/>
      <c r="G31" s="229"/>
      <c r="H31" s="230"/>
      <c r="I31" s="468"/>
      <c r="J31" s="364"/>
      <c r="K31" s="4"/>
      <c r="L31" s="5"/>
      <c r="M31" s="4"/>
      <c r="N31" s="5"/>
    </row>
    <row r="32" spans="1:14" ht="15" customHeight="1">
      <c r="A32" s="579" t="s">
        <v>22</v>
      </c>
      <c r="B32" s="107" t="s">
        <v>100</v>
      </c>
      <c r="C32" s="94">
        <v>0</v>
      </c>
      <c r="D32" s="186">
        <f>(9.7+3.485+0.437+0.015)*1.075*1.2</f>
        <v>17.59173</v>
      </c>
      <c r="E32" s="295"/>
      <c r="F32" s="230"/>
      <c r="G32" s="229"/>
      <c r="H32" s="230"/>
      <c r="I32" s="472"/>
      <c r="J32" s="363"/>
      <c r="K32" s="4"/>
      <c r="L32" s="5"/>
      <c r="M32" s="4"/>
      <c r="N32" s="5"/>
    </row>
    <row r="33" spans="1:14" ht="15" customHeight="1">
      <c r="A33" s="580"/>
      <c r="B33" s="108" t="s">
        <v>101</v>
      </c>
      <c r="C33" s="94">
        <v>0</v>
      </c>
      <c r="D33" s="187">
        <f>(6.15+0.871+0.437+0.015)*1.075*1.2</f>
        <v>9.640170000000001</v>
      </c>
      <c r="E33" s="295"/>
      <c r="F33" s="230"/>
      <c r="G33" s="229"/>
      <c r="H33" s="230"/>
      <c r="I33" s="473"/>
      <c r="J33" s="478"/>
      <c r="K33" s="4"/>
      <c r="L33" s="5"/>
      <c r="M33" s="4"/>
      <c r="N33" s="5"/>
    </row>
    <row r="34" spans="1:14" ht="15" customHeight="1" thickBot="1">
      <c r="A34" s="581"/>
      <c r="B34" s="107" t="s">
        <v>113</v>
      </c>
      <c r="C34" s="94">
        <v>34.5</v>
      </c>
      <c r="D34" s="189">
        <f>49.863*1.075*1.2</f>
        <v>64.32327</v>
      </c>
      <c r="E34" s="295"/>
      <c r="F34" s="230"/>
      <c r="G34" s="229"/>
      <c r="H34" s="230"/>
      <c r="I34" s="468"/>
      <c r="J34" s="364"/>
      <c r="K34" s="4"/>
      <c r="L34" s="5"/>
      <c r="M34" s="4"/>
      <c r="N34" s="5"/>
    </row>
    <row r="35" spans="1:14" ht="15" customHeight="1">
      <c r="A35" s="392" t="s">
        <v>23</v>
      </c>
      <c r="B35" s="107" t="s">
        <v>100</v>
      </c>
      <c r="C35" s="94">
        <v>0</v>
      </c>
      <c r="D35" s="186">
        <f>(9.7+3.485+0.437+0.015)*1.075*1.2</f>
        <v>17.59173</v>
      </c>
      <c r="E35" s="295"/>
      <c r="F35" s="230"/>
      <c r="G35" s="229"/>
      <c r="H35" s="230"/>
      <c r="I35" s="472"/>
      <c r="J35" s="363"/>
      <c r="K35" s="4"/>
      <c r="L35" s="5"/>
      <c r="M35" s="4"/>
      <c r="N35" s="5"/>
    </row>
    <row r="36" spans="1:14" ht="15" customHeight="1">
      <c r="A36" s="560"/>
      <c r="B36" s="108" t="s">
        <v>101</v>
      </c>
      <c r="C36" s="94">
        <v>0</v>
      </c>
      <c r="D36" s="187">
        <f>(6.15+0.871+0.437+0.015)*1.075*1.2</f>
        <v>9.640170000000001</v>
      </c>
      <c r="E36" s="295"/>
      <c r="F36" s="230"/>
      <c r="G36" s="229"/>
      <c r="H36" s="230"/>
      <c r="I36" s="473"/>
      <c r="J36" s="478"/>
      <c r="K36" s="4"/>
      <c r="L36" s="5"/>
      <c r="M36" s="4"/>
      <c r="N36" s="5"/>
    </row>
    <row r="37" spans="1:14" ht="15" customHeight="1" thickBot="1">
      <c r="A37" s="396"/>
      <c r="B37" s="107" t="s">
        <v>113</v>
      </c>
      <c r="C37" s="94">
        <v>34.5</v>
      </c>
      <c r="D37" s="189">
        <f>49.863*1.075*1.2</f>
        <v>64.32327</v>
      </c>
      <c r="E37" s="295"/>
      <c r="F37" s="230"/>
      <c r="G37" s="229"/>
      <c r="H37" s="230"/>
      <c r="I37" s="468"/>
      <c r="J37" s="364"/>
      <c r="K37" s="4"/>
      <c r="L37" s="5"/>
      <c r="M37" s="4"/>
      <c r="N37" s="5"/>
    </row>
    <row r="38" spans="1:14" ht="15" customHeight="1">
      <c r="A38" s="392" t="s">
        <v>24</v>
      </c>
      <c r="B38" s="107" t="s">
        <v>100</v>
      </c>
      <c r="C38" s="94">
        <v>0</v>
      </c>
      <c r="D38" s="186">
        <f>(9.7+3.879+0.437+0.015)*1.075*1.2</f>
        <v>18.09999</v>
      </c>
      <c r="E38" s="295"/>
      <c r="F38" s="230"/>
      <c r="G38" s="229"/>
      <c r="H38" s="230"/>
      <c r="I38" s="588"/>
      <c r="J38" s="512"/>
      <c r="K38" s="4"/>
      <c r="L38" s="5"/>
      <c r="M38" s="4"/>
      <c r="N38" s="5"/>
    </row>
    <row r="39" spans="1:14" ht="15" customHeight="1">
      <c r="A39" s="560"/>
      <c r="B39" s="108" t="s">
        <v>101</v>
      </c>
      <c r="C39" s="94">
        <v>0</v>
      </c>
      <c r="D39" s="187">
        <f>(6.15+0.97+0.437+0.015)*1.075*1.2</f>
        <v>9.767879999999998</v>
      </c>
      <c r="E39" s="295"/>
      <c r="F39" s="230"/>
      <c r="G39" s="229"/>
      <c r="H39" s="230"/>
      <c r="I39" s="589"/>
      <c r="J39" s="513"/>
      <c r="K39" s="4"/>
      <c r="L39" s="5"/>
      <c r="M39" s="4"/>
      <c r="N39" s="5"/>
    </row>
    <row r="40" spans="1:14" ht="15" customHeight="1" thickBot="1">
      <c r="A40" s="396"/>
      <c r="B40" s="107" t="s">
        <v>113</v>
      </c>
      <c r="C40" s="94">
        <v>34.5</v>
      </c>
      <c r="D40" s="189">
        <f>54.258*1.075*1.2</f>
        <v>69.99282</v>
      </c>
      <c r="E40" s="295"/>
      <c r="F40" s="230"/>
      <c r="G40" s="229"/>
      <c r="H40" s="230"/>
      <c r="I40" s="590"/>
      <c r="J40" s="514"/>
      <c r="K40" s="4"/>
      <c r="L40" s="5"/>
      <c r="M40" s="4"/>
      <c r="N40" s="5"/>
    </row>
    <row r="41" spans="1:14" ht="15" customHeight="1">
      <c r="A41" s="392" t="s">
        <v>25</v>
      </c>
      <c r="B41" s="107" t="s">
        <v>100</v>
      </c>
      <c r="C41" s="107">
        <v>0</v>
      </c>
      <c r="D41" s="186">
        <f>(9.7+3.879+0.437+0.015)*1.075*1.2</f>
        <v>18.09999</v>
      </c>
      <c r="E41" s="295"/>
      <c r="F41" s="230"/>
      <c r="G41" s="229"/>
      <c r="H41" s="230"/>
      <c r="I41" s="588"/>
      <c r="J41" s="363"/>
      <c r="K41" s="4"/>
      <c r="L41" s="5"/>
      <c r="M41" s="4"/>
      <c r="N41" s="5"/>
    </row>
    <row r="42" spans="1:14" ht="15" customHeight="1">
      <c r="A42" s="560"/>
      <c r="B42" s="108" t="s">
        <v>101</v>
      </c>
      <c r="C42" s="107">
        <v>0</v>
      </c>
      <c r="D42" s="187">
        <f>(6.15+0.97+0.437+0.015)*1.075*1.2</f>
        <v>9.767879999999998</v>
      </c>
      <c r="E42" s="295"/>
      <c r="F42" s="230"/>
      <c r="G42" s="229"/>
      <c r="H42" s="230"/>
      <c r="I42" s="589"/>
      <c r="J42" s="478"/>
      <c r="K42" s="4"/>
      <c r="L42" s="5"/>
      <c r="M42" s="4"/>
      <c r="N42" s="5"/>
    </row>
    <row r="43" spans="1:14" ht="15" customHeight="1" thickBot="1">
      <c r="A43" s="396"/>
      <c r="B43" s="107" t="s">
        <v>113</v>
      </c>
      <c r="C43" s="107">
        <v>34.5</v>
      </c>
      <c r="D43" s="189">
        <f>54.258*1.075*1.2</f>
        <v>69.99282</v>
      </c>
      <c r="E43" s="295"/>
      <c r="F43" s="230"/>
      <c r="G43" s="229"/>
      <c r="H43" s="230"/>
      <c r="I43" s="590"/>
      <c r="J43" s="364"/>
      <c r="K43" s="4"/>
      <c r="L43" s="5"/>
      <c r="M43" s="4"/>
      <c r="N43" s="5"/>
    </row>
    <row r="44" spans="1:14" ht="15" customHeight="1">
      <c r="A44" s="392" t="s">
        <v>26</v>
      </c>
      <c r="B44" s="107" t="s">
        <v>100</v>
      </c>
      <c r="C44" s="115"/>
      <c r="D44" s="140"/>
      <c r="E44" s="296"/>
      <c r="F44" s="228"/>
      <c r="G44" s="227"/>
      <c r="H44" s="228"/>
      <c r="I44" s="472"/>
      <c r="J44" s="363"/>
      <c r="K44" s="9"/>
      <c r="L44" s="10"/>
      <c r="M44" s="9"/>
      <c r="N44" s="10"/>
    </row>
    <row r="45" spans="1:14" ht="15" customHeight="1">
      <c r="A45" s="560"/>
      <c r="B45" s="108" t="s">
        <v>101</v>
      </c>
      <c r="C45" s="115"/>
      <c r="D45" s="7"/>
      <c r="E45" s="296"/>
      <c r="F45" s="228"/>
      <c r="G45" s="227"/>
      <c r="H45" s="228"/>
      <c r="I45" s="473"/>
      <c r="J45" s="478"/>
      <c r="K45" s="9"/>
      <c r="L45" s="10"/>
      <c r="M45" s="9"/>
      <c r="N45" s="10"/>
    </row>
    <row r="46" spans="1:14" ht="15" customHeight="1" thickBot="1">
      <c r="A46" s="393"/>
      <c r="B46" s="107" t="s">
        <v>113</v>
      </c>
      <c r="C46" s="107"/>
      <c r="D46" s="142"/>
      <c r="E46" s="301"/>
      <c r="F46" s="278"/>
      <c r="G46" s="277"/>
      <c r="H46" s="278"/>
      <c r="I46" s="467"/>
      <c r="J46" s="374"/>
      <c r="K46" s="2"/>
      <c r="L46" s="3"/>
      <c r="M46" s="2"/>
      <c r="N46" s="3"/>
    </row>
    <row r="47" spans="1:14" ht="13.5" thickTop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</sheetData>
  <sheetProtection/>
  <mergeCells count="55">
    <mergeCell ref="E14:E16"/>
    <mergeCell ref="F14:F16"/>
    <mergeCell ref="E17:E19"/>
    <mergeCell ref="F17:F19"/>
    <mergeCell ref="I44:I46"/>
    <mergeCell ref="J32:J34"/>
    <mergeCell ref="J35:J37"/>
    <mergeCell ref="J38:J40"/>
    <mergeCell ref="J41:J43"/>
    <mergeCell ref="J44:J46"/>
    <mergeCell ref="I38:I40"/>
    <mergeCell ref="I41:I43"/>
    <mergeCell ref="J29:J31"/>
    <mergeCell ref="I32:I34"/>
    <mergeCell ref="I35:I37"/>
    <mergeCell ref="I23:I25"/>
    <mergeCell ref="J23:J25"/>
    <mergeCell ref="I26:I28"/>
    <mergeCell ref="J26:J28"/>
    <mergeCell ref="I29:I31"/>
    <mergeCell ref="J20:J22"/>
    <mergeCell ref="I11:I13"/>
    <mergeCell ref="J11:J13"/>
    <mergeCell ref="I14:I16"/>
    <mergeCell ref="J14:J16"/>
    <mergeCell ref="I17:I19"/>
    <mergeCell ref="J17:J19"/>
    <mergeCell ref="I20:I22"/>
    <mergeCell ref="A11:A13"/>
    <mergeCell ref="I9:J9"/>
    <mergeCell ref="K9:L9"/>
    <mergeCell ref="F9:F10"/>
    <mergeCell ref="G9:H9"/>
    <mergeCell ref="B9:C10"/>
    <mergeCell ref="E11:E13"/>
    <mergeCell ref="D9:D10"/>
    <mergeCell ref="E9:E10"/>
    <mergeCell ref="F11:F13"/>
    <mergeCell ref="M9:N9"/>
    <mergeCell ref="A6:N7"/>
    <mergeCell ref="A8:A10"/>
    <mergeCell ref="B8:D8"/>
    <mergeCell ref="E8:F8"/>
    <mergeCell ref="G8:N8"/>
    <mergeCell ref="A35:A37"/>
    <mergeCell ref="A38:A40"/>
    <mergeCell ref="A41:A43"/>
    <mergeCell ref="A44:A46"/>
    <mergeCell ref="A26:A28"/>
    <mergeCell ref="A29:A31"/>
    <mergeCell ref="A32:A34"/>
    <mergeCell ref="A14:A16"/>
    <mergeCell ref="A17:A19"/>
    <mergeCell ref="A20:A22"/>
    <mergeCell ref="A23:A25"/>
  </mergeCells>
  <printOptions/>
  <pageMargins left="0.23" right="0.2" top="0.38" bottom="0.49" header="0.5" footer="0.25"/>
  <pageSetup horizontalDpi="600" verticalDpi="600" orientation="landscape" paperSize="9" r:id="rId1"/>
  <headerFooter alignWithMargins="0">
    <oddFooter>&amp;R&amp;P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O20" sqref="O20"/>
    </sheetView>
  </sheetViews>
  <sheetFormatPr defaultColWidth="9.140625" defaultRowHeight="12.75"/>
  <cols>
    <col min="1" max="1" width="14.421875" style="0" bestFit="1" customWidth="1"/>
    <col min="2" max="2" width="5.140625" style="0" customWidth="1"/>
    <col min="3" max="3" width="25.00390625" style="0" customWidth="1"/>
  </cols>
  <sheetData>
    <row r="1" spans="1:3" ht="12.75">
      <c r="A1" t="s">
        <v>88</v>
      </c>
      <c r="C1" t="s">
        <v>71</v>
      </c>
    </row>
    <row r="2" spans="1:3" ht="12.75">
      <c r="A2" t="s">
        <v>72</v>
      </c>
      <c r="C2" t="s">
        <v>73</v>
      </c>
    </row>
    <row r="3" spans="1:3" ht="12.75">
      <c r="A3" t="s">
        <v>74</v>
      </c>
      <c r="C3" t="s">
        <v>75</v>
      </c>
    </row>
    <row r="4" spans="1:3" ht="12.75">
      <c r="A4" t="s">
        <v>76</v>
      </c>
      <c r="C4" t="s">
        <v>77</v>
      </c>
    </row>
    <row r="5" spans="1:3" ht="12.75">
      <c r="A5" t="s">
        <v>78</v>
      </c>
      <c r="C5" t="s">
        <v>79</v>
      </c>
    </row>
    <row r="6" spans="1:3" ht="12.75">
      <c r="A6" t="s">
        <v>80</v>
      </c>
      <c r="C6" t="s">
        <v>81</v>
      </c>
    </row>
    <row r="7" spans="1:3" ht="12.75">
      <c r="A7" t="s">
        <v>82</v>
      </c>
      <c r="C7" t="s">
        <v>83</v>
      </c>
    </row>
    <row r="8" spans="1:3" ht="12.75">
      <c r="A8" t="s">
        <v>84</v>
      </c>
      <c r="C8" t="s">
        <v>89</v>
      </c>
    </row>
    <row r="9" spans="1:3" ht="12.75">
      <c r="A9" t="s">
        <v>70</v>
      </c>
      <c r="C9" t="s">
        <v>85</v>
      </c>
    </row>
    <row r="10" spans="1:3" ht="12.75">
      <c r="A10" t="s">
        <v>86</v>
      </c>
      <c r="C10" t="s">
        <v>87</v>
      </c>
    </row>
    <row r="11" spans="1:3" ht="12.75">
      <c r="A11" t="s">
        <v>90</v>
      </c>
      <c r="C11" t="s">
        <v>91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2"/>
  <sheetViews>
    <sheetView zoomScalePageLayoutView="0" workbookViewId="0" topLeftCell="A22">
      <selection activeCell="E44" sqref="E44:E46"/>
    </sheetView>
  </sheetViews>
  <sheetFormatPr defaultColWidth="9.140625" defaultRowHeight="24.75" customHeight="1"/>
  <cols>
    <col min="1" max="1" width="16.140625" style="1" customWidth="1"/>
    <col min="2" max="2" width="6.57421875" style="1" customWidth="1"/>
    <col min="3" max="3" width="10.00390625" style="1" customWidth="1"/>
    <col min="4" max="4" width="7.7109375" style="1" customWidth="1"/>
    <col min="5" max="5" width="16.28125" style="1" customWidth="1"/>
    <col min="6" max="6" width="6.140625" style="1" customWidth="1"/>
    <col min="7" max="7" width="10.57421875" style="1" customWidth="1"/>
    <col min="8" max="8" width="14.57421875" style="1" customWidth="1"/>
    <col min="9" max="9" width="11.140625" style="1" customWidth="1"/>
    <col min="10" max="10" width="5.7109375" style="1" customWidth="1"/>
    <col min="11" max="11" width="10.7109375" style="1" customWidth="1"/>
    <col min="12" max="12" width="6.421875" style="1" customWidth="1"/>
    <col min="13" max="13" width="10.00390625" style="1" customWidth="1"/>
    <col min="14" max="14" width="6.28125" style="1" customWidth="1"/>
    <col min="15" max="16384" width="9.140625" style="1" customWidth="1"/>
  </cols>
  <sheetData>
    <row r="1" spans="1:15" ht="15.75" customHeight="1">
      <c r="A1" s="29" t="s">
        <v>41</v>
      </c>
      <c r="B1" s="30" t="s">
        <v>103</v>
      </c>
      <c r="C1" s="30"/>
      <c r="D1" s="31"/>
      <c r="E1" s="31"/>
      <c r="F1" s="31">
        <v>51131</v>
      </c>
      <c r="G1" s="31"/>
      <c r="H1" s="29" t="s">
        <v>29</v>
      </c>
      <c r="I1" s="29"/>
      <c r="J1" s="29"/>
      <c r="K1" s="31">
        <v>1104</v>
      </c>
      <c r="M1" s="31"/>
      <c r="N1" s="31"/>
      <c r="O1" s="32"/>
    </row>
    <row r="2" spans="1:15" ht="13.5" customHeight="1">
      <c r="A2" s="30" t="s">
        <v>1</v>
      </c>
      <c r="B2" s="30" t="s">
        <v>105</v>
      </c>
      <c r="C2" s="30"/>
      <c r="D2" s="31"/>
      <c r="E2" s="31"/>
      <c r="F2" s="31">
        <v>51130</v>
      </c>
      <c r="G2" s="31"/>
      <c r="H2" s="30" t="s">
        <v>2</v>
      </c>
      <c r="I2" s="30"/>
      <c r="J2" s="30"/>
      <c r="K2" s="31">
        <v>7</v>
      </c>
      <c r="M2" s="31"/>
      <c r="N2" s="31"/>
      <c r="O2" s="32"/>
    </row>
    <row r="3" spans="1:15" ht="12.75" customHeight="1">
      <c r="A3" s="30" t="s">
        <v>0</v>
      </c>
      <c r="B3" s="30" t="s">
        <v>38</v>
      </c>
      <c r="C3" s="30"/>
      <c r="D3" s="31"/>
      <c r="E3" s="31"/>
      <c r="F3" s="31"/>
      <c r="G3" s="31"/>
      <c r="H3" s="30" t="s">
        <v>3</v>
      </c>
      <c r="I3" s="30"/>
      <c r="J3" s="30"/>
      <c r="K3" s="31">
        <v>2</v>
      </c>
      <c r="M3" s="31"/>
      <c r="N3" s="31"/>
      <c r="O3" s="32"/>
    </row>
    <row r="4" spans="1:15" ht="12.75" customHeight="1">
      <c r="A4" s="30" t="s">
        <v>4</v>
      </c>
      <c r="B4" s="30">
        <v>195</v>
      </c>
      <c r="C4" s="30"/>
      <c r="D4" s="31"/>
      <c r="E4" s="31"/>
      <c r="F4" s="31"/>
      <c r="G4" s="31"/>
      <c r="H4" s="30" t="s">
        <v>31</v>
      </c>
      <c r="I4" s="30"/>
      <c r="J4" s="30"/>
      <c r="K4" s="30" t="s">
        <v>62</v>
      </c>
      <c r="M4" s="31"/>
      <c r="N4" s="31"/>
      <c r="O4" s="31"/>
    </row>
    <row r="5" spans="1:15" ht="15.75" customHeight="1" thickBot="1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 t="s">
        <v>65</v>
      </c>
      <c r="M5" s="32"/>
      <c r="N5" s="32"/>
      <c r="O5" s="32"/>
    </row>
    <row r="6" spans="1:15" ht="9.75" customHeight="1" thickTop="1">
      <c r="A6" s="355" t="s">
        <v>5</v>
      </c>
      <c r="B6" s="328"/>
      <c r="C6" s="328"/>
      <c r="D6" s="328"/>
      <c r="E6" s="328"/>
      <c r="F6" s="328"/>
      <c r="G6" s="328"/>
      <c r="H6" s="328"/>
      <c r="I6" s="328"/>
      <c r="J6" s="328"/>
      <c r="K6" s="328"/>
      <c r="L6" s="328"/>
      <c r="M6" s="328"/>
      <c r="N6" s="329"/>
      <c r="O6" s="32"/>
    </row>
    <row r="7" spans="1:15" ht="9.75" customHeight="1" thickBot="1">
      <c r="A7" s="330"/>
      <c r="B7" s="331"/>
      <c r="C7" s="331"/>
      <c r="D7" s="331"/>
      <c r="E7" s="331"/>
      <c r="F7" s="331"/>
      <c r="G7" s="331"/>
      <c r="H7" s="331"/>
      <c r="I7" s="331"/>
      <c r="J7" s="331"/>
      <c r="K7" s="331"/>
      <c r="L7" s="331"/>
      <c r="M7" s="331"/>
      <c r="N7" s="332"/>
      <c r="O7" s="32"/>
    </row>
    <row r="8" spans="1:15" ht="15" customHeight="1" thickBot="1" thickTop="1">
      <c r="A8" s="333" t="s">
        <v>6</v>
      </c>
      <c r="B8" s="336" t="s">
        <v>7</v>
      </c>
      <c r="C8" s="337"/>
      <c r="D8" s="319"/>
      <c r="E8" s="336" t="s">
        <v>11</v>
      </c>
      <c r="F8" s="319"/>
      <c r="G8" s="344" t="s">
        <v>15</v>
      </c>
      <c r="H8" s="320"/>
      <c r="I8" s="320"/>
      <c r="J8" s="320"/>
      <c r="K8" s="320"/>
      <c r="L8" s="320"/>
      <c r="M8" s="320"/>
      <c r="N8" s="367"/>
      <c r="O8" s="32"/>
    </row>
    <row r="9" spans="1:15" ht="15" customHeight="1" thickTop="1">
      <c r="A9" s="334"/>
      <c r="B9" s="323" t="s">
        <v>8</v>
      </c>
      <c r="C9" s="324"/>
      <c r="D9" s="352" t="s">
        <v>9</v>
      </c>
      <c r="E9" s="321" t="s">
        <v>66</v>
      </c>
      <c r="F9" s="352" t="s">
        <v>9</v>
      </c>
      <c r="G9" s="350" t="s">
        <v>27</v>
      </c>
      <c r="H9" s="351"/>
      <c r="I9" s="350" t="s">
        <v>28</v>
      </c>
      <c r="J9" s="351"/>
      <c r="K9" s="350" t="s">
        <v>13</v>
      </c>
      <c r="L9" s="351"/>
      <c r="M9" s="350" t="s">
        <v>14</v>
      </c>
      <c r="N9" s="351"/>
      <c r="O9" s="32"/>
    </row>
    <row r="10" spans="1:15" ht="15" customHeight="1" thickBot="1">
      <c r="A10" s="335"/>
      <c r="B10" s="341"/>
      <c r="C10" s="345"/>
      <c r="D10" s="368"/>
      <c r="E10" s="322"/>
      <c r="F10" s="349"/>
      <c r="G10" s="11" t="s">
        <v>114</v>
      </c>
      <c r="H10" s="36" t="s">
        <v>9</v>
      </c>
      <c r="I10" s="37" t="s">
        <v>12</v>
      </c>
      <c r="J10" s="36" t="s">
        <v>9</v>
      </c>
      <c r="K10" s="37" t="s">
        <v>96</v>
      </c>
      <c r="L10" s="36" t="s">
        <v>9</v>
      </c>
      <c r="M10" s="37" t="s">
        <v>97</v>
      </c>
      <c r="N10" s="36" t="s">
        <v>9</v>
      </c>
      <c r="O10" s="32"/>
    </row>
    <row r="11" spans="1:15" ht="12.75" customHeight="1" thickTop="1">
      <c r="A11" s="323" t="s">
        <v>16</v>
      </c>
      <c r="B11" s="259" t="s">
        <v>94</v>
      </c>
      <c r="C11" s="185">
        <v>1480</v>
      </c>
      <c r="D11" s="186">
        <f>(6.29+2.177+0.437+0.015)*1.075*1.2</f>
        <v>11.50551</v>
      </c>
      <c r="E11" s="324">
        <v>50</v>
      </c>
      <c r="F11" s="352">
        <v>52.47</v>
      </c>
      <c r="G11" s="353">
        <v>934</v>
      </c>
      <c r="H11" s="352">
        <v>56.19</v>
      </c>
      <c r="I11" s="40"/>
      <c r="J11" s="41"/>
      <c r="K11" s="40"/>
      <c r="L11" s="41"/>
      <c r="M11" s="40"/>
      <c r="N11" s="41"/>
      <c r="O11" s="32"/>
    </row>
    <row r="12" spans="1:15" ht="12.75" customHeight="1">
      <c r="A12" s="341"/>
      <c r="B12" s="260" t="s">
        <v>95</v>
      </c>
      <c r="C12" s="89">
        <v>220</v>
      </c>
      <c r="D12" s="187">
        <f>(4.04+0.726+0.437+0.015)*1.075*1.2</f>
        <v>6.7312199999999995</v>
      </c>
      <c r="E12" s="345"/>
      <c r="F12" s="368"/>
      <c r="G12" s="354"/>
      <c r="H12" s="368"/>
      <c r="I12" s="40"/>
      <c r="J12" s="41"/>
      <c r="K12" s="40"/>
      <c r="L12" s="41"/>
      <c r="M12" s="40"/>
      <c r="N12" s="41"/>
      <c r="O12" s="32"/>
    </row>
    <row r="13" spans="1:15" ht="12" customHeight="1" thickBot="1">
      <c r="A13" s="342"/>
      <c r="B13" s="261" t="s">
        <v>107</v>
      </c>
      <c r="C13" s="149">
        <v>33</v>
      </c>
      <c r="D13" s="189">
        <f>157.732*1.075*1.2</f>
        <v>203.47427999999996</v>
      </c>
      <c r="E13" s="346"/>
      <c r="F13" s="343"/>
      <c r="G13" s="207">
        <v>24019</v>
      </c>
      <c r="H13" s="39">
        <v>6.91</v>
      </c>
      <c r="I13" s="38"/>
      <c r="J13" s="39"/>
      <c r="K13" s="38"/>
      <c r="L13" s="39"/>
      <c r="M13" s="38"/>
      <c r="N13" s="39"/>
      <c r="O13" s="32"/>
    </row>
    <row r="14" spans="1:15" ht="15" customHeight="1" thickTop="1">
      <c r="A14" s="340" t="s">
        <v>17</v>
      </c>
      <c r="B14" s="84" t="s">
        <v>94</v>
      </c>
      <c r="C14" s="169">
        <v>1520</v>
      </c>
      <c r="D14" s="186">
        <f>(6.29+2.241+0.437+0.015)*1.075*1.2</f>
        <v>11.58807</v>
      </c>
      <c r="E14" s="344">
        <f>175</f>
        <v>175</v>
      </c>
      <c r="F14" s="367">
        <v>52.47</v>
      </c>
      <c r="G14" s="353">
        <v>934</v>
      </c>
      <c r="H14" s="352">
        <v>56.19</v>
      </c>
      <c r="I14" s="40"/>
      <c r="J14" s="41"/>
      <c r="K14" s="40"/>
      <c r="L14" s="41"/>
      <c r="M14" s="40"/>
      <c r="N14" s="41"/>
      <c r="O14" s="32"/>
    </row>
    <row r="15" spans="1:15" ht="15" customHeight="1">
      <c r="A15" s="341"/>
      <c r="B15" s="84" t="s">
        <v>95</v>
      </c>
      <c r="C15" s="79">
        <v>180</v>
      </c>
      <c r="D15" s="187">
        <f>(4.04+0.747+0.437+0.015)*1.075*1.2</f>
        <v>6.75831</v>
      </c>
      <c r="E15" s="345"/>
      <c r="F15" s="368"/>
      <c r="G15" s="354"/>
      <c r="H15" s="368"/>
      <c r="I15" s="40"/>
      <c r="J15" s="41"/>
      <c r="K15" s="40"/>
      <c r="L15" s="41"/>
      <c r="M15" s="40"/>
      <c r="N15" s="41"/>
      <c r="O15" s="32"/>
    </row>
    <row r="16" spans="1:15" ht="15" customHeight="1" thickBot="1">
      <c r="A16" s="342"/>
      <c r="B16" s="82" t="s">
        <v>107</v>
      </c>
      <c r="C16" s="79">
        <v>33</v>
      </c>
      <c r="D16" s="189">
        <f>159.562*1.075*1.2</f>
        <v>205.83498</v>
      </c>
      <c r="E16" s="345"/>
      <c r="F16" s="368"/>
      <c r="G16" s="207">
        <v>29075</v>
      </c>
      <c r="H16" s="39">
        <v>6.91</v>
      </c>
      <c r="I16" s="40"/>
      <c r="J16" s="41"/>
      <c r="K16" s="40"/>
      <c r="L16" s="41"/>
      <c r="M16" s="40"/>
      <c r="N16" s="41"/>
      <c r="O16" s="32"/>
    </row>
    <row r="17" spans="1:15" ht="15" customHeight="1">
      <c r="A17" s="340" t="s">
        <v>18</v>
      </c>
      <c r="B17" s="86" t="s">
        <v>94</v>
      </c>
      <c r="C17" s="170">
        <v>1740</v>
      </c>
      <c r="D17" s="186">
        <f>(6.29+2.241+0.437+0.015)*1.075*1.2</f>
        <v>11.58807</v>
      </c>
      <c r="E17" s="344">
        <v>147</v>
      </c>
      <c r="F17" s="367">
        <v>52.47</v>
      </c>
      <c r="G17" s="338">
        <v>934</v>
      </c>
      <c r="H17" s="367">
        <v>56.19</v>
      </c>
      <c r="I17" s="62"/>
      <c r="J17" s="34"/>
      <c r="K17" s="62"/>
      <c r="L17" s="34"/>
      <c r="M17" s="62"/>
      <c r="N17" s="34"/>
      <c r="O17" s="32"/>
    </row>
    <row r="18" spans="1:15" ht="15" customHeight="1">
      <c r="A18" s="341"/>
      <c r="B18" s="84" t="s">
        <v>95</v>
      </c>
      <c r="C18" s="79">
        <v>220</v>
      </c>
      <c r="D18" s="187">
        <f>(4.04+0.747+0.437+0.015)*1.075*1.2</f>
        <v>6.75831</v>
      </c>
      <c r="E18" s="345"/>
      <c r="F18" s="368"/>
      <c r="G18" s="339"/>
      <c r="H18" s="368"/>
      <c r="I18" s="40"/>
      <c r="J18" s="41"/>
      <c r="K18" s="40"/>
      <c r="L18" s="41"/>
      <c r="M18" s="40"/>
      <c r="N18" s="41"/>
      <c r="O18" s="32"/>
    </row>
    <row r="19" spans="1:15" ht="15" customHeight="1" thickBot="1">
      <c r="A19" s="342"/>
      <c r="B19" s="82" t="s">
        <v>107</v>
      </c>
      <c r="C19" s="78">
        <v>33</v>
      </c>
      <c r="D19" s="189">
        <f>159.562*1.075*1.2</f>
        <v>205.83498</v>
      </c>
      <c r="E19" s="346"/>
      <c r="F19" s="343"/>
      <c r="G19" s="208">
        <v>23285</v>
      </c>
      <c r="H19" s="195">
        <v>6.91</v>
      </c>
      <c r="I19" s="38"/>
      <c r="J19" s="39"/>
      <c r="K19" s="38"/>
      <c r="L19" s="39"/>
      <c r="M19" s="38"/>
      <c r="N19" s="39"/>
      <c r="O19" s="32"/>
    </row>
    <row r="20" spans="1:15" ht="15" customHeight="1">
      <c r="A20" s="340" t="s">
        <v>19</v>
      </c>
      <c r="B20" s="86" t="s">
        <v>94</v>
      </c>
      <c r="C20" s="170">
        <v>1480</v>
      </c>
      <c r="D20" s="186">
        <f>(6.29+2.241+0.437+0.015)*1.075*1.2</f>
        <v>11.58807</v>
      </c>
      <c r="E20" s="344">
        <v>54</v>
      </c>
      <c r="F20" s="367">
        <v>52.47</v>
      </c>
      <c r="G20" s="338">
        <v>934</v>
      </c>
      <c r="H20" s="367">
        <v>56.19</v>
      </c>
      <c r="I20" s="62"/>
      <c r="J20" s="34"/>
      <c r="K20" s="62"/>
      <c r="L20" s="34"/>
      <c r="M20" s="62"/>
      <c r="N20" s="34"/>
      <c r="O20" s="32"/>
    </row>
    <row r="21" spans="1:15" ht="15" customHeight="1">
      <c r="A21" s="341"/>
      <c r="B21" s="84" t="s">
        <v>95</v>
      </c>
      <c r="C21" s="79">
        <v>240</v>
      </c>
      <c r="D21" s="187">
        <f>(4.04+0.747+0.437+0.015)*1.075*1.2</f>
        <v>6.75831</v>
      </c>
      <c r="E21" s="345"/>
      <c r="F21" s="368"/>
      <c r="G21" s="339"/>
      <c r="H21" s="368"/>
      <c r="I21" s="40"/>
      <c r="J21" s="41"/>
      <c r="K21" s="40"/>
      <c r="L21" s="41"/>
      <c r="M21" s="40"/>
      <c r="N21" s="41"/>
      <c r="O21" s="32"/>
    </row>
    <row r="22" spans="1:15" ht="15" customHeight="1" thickBot="1">
      <c r="A22" s="342"/>
      <c r="B22" s="82" t="s">
        <v>107</v>
      </c>
      <c r="C22" s="78">
        <v>33</v>
      </c>
      <c r="D22" s="189">
        <f>159.562*1.075*1.2</f>
        <v>205.83498</v>
      </c>
      <c r="E22" s="346"/>
      <c r="F22" s="343"/>
      <c r="G22" s="208">
        <v>20241</v>
      </c>
      <c r="H22" s="195">
        <v>6.91</v>
      </c>
      <c r="I22" s="38"/>
      <c r="J22" s="39"/>
      <c r="K22" s="38"/>
      <c r="L22" s="39"/>
      <c r="M22" s="38"/>
      <c r="N22" s="39"/>
      <c r="O22" s="32"/>
    </row>
    <row r="23" spans="1:15" ht="15" customHeight="1">
      <c r="A23" s="340" t="s">
        <v>20</v>
      </c>
      <c r="B23" s="86" t="s">
        <v>94</v>
      </c>
      <c r="C23" s="170">
        <f>1380</f>
        <v>1380</v>
      </c>
      <c r="D23" s="186">
        <f>(6.29+2.241+0.437+0.015)*1.075*1.2</f>
        <v>11.58807</v>
      </c>
      <c r="E23" s="344">
        <v>33</v>
      </c>
      <c r="F23" s="367">
        <v>52.47</v>
      </c>
      <c r="G23" s="338">
        <v>934</v>
      </c>
      <c r="H23" s="367">
        <v>56.19</v>
      </c>
      <c r="I23" s="62"/>
      <c r="J23" s="34"/>
      <c r="K23" s="62"/>
      <c r="L23" s="34"/>
      <c r="M23" s="62"/>
      <c r="N23" s="34"/>
      <c r="O23" s="32"/>
    </row>
    <row r="24" spans="1:15" ht="15" customHeight="1">
      <c r="A24" s="341"/>
      <c r="B24" s="84" t="s">
        <v>95</v>
      </c>
      <c r="C24" s="79">
        <f>180</f>
        <v>180</v>
      </c>
      <c r="D24" s="187">
        <f>(4.04+0.747+0.437+0.015)*1.075*1.2</f>
        <v>6.75831</v>
      </c>
      <c r="E24" s="345"/>
      <c r="F24" s="368"/>
      <c r="G24" s="339"/>
      <c r="H24" s="368"/>
      <c r="I24" s="40"/>
      <c r="J24" s="41"/>
      <c r="K24" s="40"/>
      <c r="L24" s="41"/>
      <c r="M24" s="40"/>
      <c r="N24" s="41"/>
      <c r="O24" s="32"/>
    </row>
    <row r="25" spans="1:15" ht="15" customHeight="1" thickBot="1">
      <c r="A25" s="342"/>
      <c r="B25" s="82" t="s">
        <v>107</v>
      </c>
      <c r="C25" s="78">
        <v>33</v>
      </c>
      <c r="D25" s="189">
        <f>159.562*1.075*1.2</f>
        <v>205.83498</v>
      </c>
      <c r="E25" s="346"/>
      <c r="F25" s="343"/>
      <c r="G25" s="208">
        <v>0</v>
      </c>
      <c r="H25" s="195">
        <v>6.91</v>
      </c>
      <c r="I25" s="38"/>
      <c r="J25" s="39"/>
      <c r="K25" s="38"/>
      <c r="L25" s="39"/>
      <c r="M25" s="38"/>
      <c r="N25" s="39"/>
      <c r="O25" s="32"/>
    </row>
    <row r="26" spans="1:15" ht="15" customHeight="1">
      <c r="A26" s="340" t="s">
        <v>68</v>
      </c>
      <c r="B26" s="86" t="s">
        <v>94</v>
      </c>
      <c r="C26" s="170">
        <v>1720</v>
      </c>
      <c r="D26" s="186">
        <f>(6.29+2.241+0.437+0.015)*1.075*1.2</f>
        <v>11.58807</v>
      </c>
      <c r="E26" s="344">
        <v>45</v>
      </c>
      <c r="F26" s="367">
        <v>52.47</v>
      </c>
      <c r="G26" s="338">
        <v>934</v>
      </c>
      <c r="H26" s="367">
        <v>56.19</v>
      </c>
      <c r="I26" s="62"/>
      <c r="J26" s="34"/>
      <c r="K26" s="62"/>
      <c r="L26" s="34"/>
      <c r="M26" s="62"/>
      <c r="N26" s="34"/>
      <c r="O26" s="32"/>
    </row>
    <row r="27" spans="1:15" ht="15" customHeight="1">
      <c r="A27" s="341"/>
      <c r="B27" s="82" t="s">
        <v>95</v>
      </c>
      <c r="C27" s="79">
        <v>220</v>
      </c>
      <c r="D27" s="187">
        <f>(4.04+0.747+0.437+0.015)*1.075*1.2</f>
        <v>6.75831</v>
      </c>
      <c r="E27" s="345"/>
      <c r="F27" s="368"/>
      <c r="G27" s="339"/>
      <c r="H27" s="368"/>
      <c r="I27" s="40"/>
      <c r="J27" s="41"/>
      <c r="K27" s="40"/>
      <c r="L27" s="41"/>
      <c r="M27" s="40"/>
      <c r="N27" s="41"/>
      <c r="O27" s="32"/>
    </row>
    <row r="28" spans="1:15" ht="15" customHeight="1" thickBot="1">
      <c r="A28" s="342"/>
      <c r="B28" s="82" t="s">
        <v>107</v>
      </c>
      <c r="C28" s="78">
        <v>33</v>
      </c>
      <c r="D28" s="189">
        <f>159.562*1.075*1.2</f>
        <v>205.83498</v>
      </c>
      <c r="E28" s="346"/>
      <c r="F28" s="343"/>
      <c r="G28" s="208">
        <v>0</v>
      </c>
      <c r="H28" s="195">
        <v>6.91</v>
      </c>
      <c r="I28" s="38"/>
      <c r="J28" s="39"/>
      <c r="K28" s="38"/>
      <c r="L28" s="39"/>
      <c r="M28" s="38"/>
      <c r="N28" s="39"/>
      <c r="O28" s="32"/>
    </row>
    <row r="29" spans="1:15" ht="15" customHeight="1">
      <c r="A29" s="340" t="s">
        <v>69</v>
      </c>
      <c r="B29" s="86" t="s">
        <v>94</v>
      </c>
      <c r="C29" s="170">
        <v>1060</v>
      </c>
      <c r="D29" s="186">
        <f>(6.29+2.241+0.437+0.015)*1.075*1.2</f>
        <v>11.58807</v>
      </c>
      <c r="E29" s="344">
        <v>40</v>
      </c>
      <c r="F29" s="367">
        <v>52.47</v>
      </c>
      <c r="G29" s="338">
        <v>934</v>
      </c>
      <c r="H29" s="367">
        <v>56.19</v>
      </c>
      <c r="I29" s="9"/>
      <c r="J29" s="10"/>
      <c r="K29" s="9"/>
      <c r="L29" s="10"/>
      <c r="M29" s="9"/>
      <c r="N29" s="10"/>
      <c r="O29" s="32"/>
    </row>
    <row r="30" spans="1:15" ht="15" customHeight="1">
      <c r="A30" s="341"/>
      <c r="B30" s="84" t="s">
        <v>95</v>
      </c>
      <c r="C30" s="79">
        <v>180</v>
      </c>
      <c r="D30" s="187">
        <f>(4.04+0.747+0.437+0.015)*1.075*1.2</f>
        <v>6.75831</v>
      </c>
      <c r="E30" s="345"/>
      <c r="F30" s="368"/>
      <c r="G30" s="339"/>
      <c r="H30" s="368"/>
      <c r="I30" s="6"/>
      <c r="J30" s="7"/>
      <c r="K30" s="6"/>
      <c r="L30" s="7"/>
      <c r="M30" s="6"/>
      <c r="N30" s="7"/>
      <c r="O30" s="32"/>
    </row>
    <row r="31" spans="1:15" ht="15" customHeight="1" thickBot="1">
      <c r="A31" s="342"/>
      <c r="B31" s="82" t="s">
        <v>107</v>
      </c>
      <c r="C31" s="78">
        <v>33</v>
      </c>
      <c r="D31" s="189">
        <f>159.562*1.075*1.2</f>
        <v>205.83498</v>
      </c>
      <c r="E31" s="346"/>
      <c r="F31" s="343"/>
      <c r="G31" s="208">
        <v>0</v>
      </c>
      <c r="H31" s="195">
        <v>6.91</v>
      </c>
      <c r="I31" s="12"/>
      <c r="J31" s="13"/>
      <c r="K31" s="12"/>
      <c r="L31" s="13"/>
      <c r="M31" s="12"/>
      <c r="N31" s="13"/>
      <c r="O31" s="32"/>
    </row>
    <row r="32" spans="1:15" ht="15" customHeight="1">
      <c r="A32" s="340" t="s">
        <v>22</v>
      </c>
      <c r="B32" s="86" t="s">
        <v>94</v>
      </c>
      <c r="C32" s="270">
        <v>1200</v>
      </c>
      <c r="D32" s="186">
        <f>(6.29+2.241+0.437+0.015)*1.075*1.2</f>
        <v>11.58807</v>
      </c>
      <c r="E32" s="344">
        <v>33</v>
      </c>
      <c r="F32" s="367">
        <v>52.47</v>
      </c>
      <c r="G32" s="338">
        <v>934</v>
      </c>
      <c r="H32" s="367">
        <v>56.19</v>
      </c>
      <c r="I32" s="12"/>
      <c r="J32" s="13"/>
      <c r="K32" s="12"/>
      <c r="L32" s="13"/>
      <c r="M32" s="12"/>
      <c r="N32" s="13"/>
      <c r="O32" s="32"/>
    </row>
    <row r="33" spans="1:15" ht="15" customHeight="1">
      <c r="A33" s="341"/>
      <c r="B33" s="84" t="s">
        <v>95</v>
      </c>
      <c r="C33" s="85">
        <v>100</v>
      </c>
      <c r="D33" s="187">
        <f>(4.04+0.747+0.437+0.015)*1.075*1.2</f>
        <v>6.75831</v>
      </c>
      <c r="E33" s="345"/>
      <c r="F33" s="368"/>
      <c r="G33" s="339"/>
      <c r="H33" s="368"/>
      <c r="I33" s="12"/>
      <c r="J33" s="13"/>
      <c r="K33" s="12"/>
      <c r="L33" s="13"/>
      <c r="M33" s="12"/>
      <c r="N33" s="13"/>
      <c r="O33" s="32"/>
    </row>
    <row r="34" spans="1:15" ht="15" customHeight="1" thickBot="1">
      <c r="A34" s="342"/>
      <c r="B34" s="82" t="s">
        <v>107</v>
      </c>
      <c r="C34" s="83">
        <v>33</v>
      </c>
      <c r="D34" s="189">
        <f>159.562*1.075*1.2</f>
        <v>205.83498</v>
      </c>
      <c r="E34" s="346"/>
      <c r="F34" s="343"/>
      <c r="G34" s="208">
        <v>0</v>
      </c>
      <c r="H34" s="195">
        <v>6.91</v>
      </c>
      <c r="I34" s="42"/>
      <c r="J34" s="43"/>
      <c r="K34" s="42"/>
      <c r="L34" s="43"/>
      <c r="M34" s="42"/>
      <c r="N34" s="43"/>
      <c r="O34" s="32"/>
    </row>
    <row r="35" spans="1:15" ht="13.5" customHeight="1">
      <c r="A35" s="340" t="s">
        <v>23</v>
      </c>
      <c r="B35" s="86" t="s">
        <v>94</v>
      </c>
      <c r="C35" s="170">
        <v>2040</v>
      </c>
      <c r="D35" s="186">
        <f>(9.7+2.241+0.437+0.015)*1.075*1.2</f>
        <v>15.986969999999998</v>
      </c>
      <c r="E35" s="344">
        <f>40</f>
        <v>40</v>
      </c>
      <c r="F35" s="367">
        <v>58.17</v>
      </c>
      <c r="G35" s="338">
        <v>934</v>
      </c>
      <c r="H35" s="367">
        <v>56.19</v>
      </c>
      <c r="I35" s="42"/>
      <c r="J35" s="43"/>
      <c r="K35" s="42"/>
      <c r="L35" s="43"/>
      <c r="M35" s="42"/>
      <c r="N35" s="43"/>
      <c r="O35" s="32"/>
    </row>
    <row r="36" spans="1:15" ht="13.5" customHeight="1">
      <c r="A36" s="341"/>
      <c r="B36" s="84" t="s">
        <v>95</v>
      </c>
      <c r="C36" s="79">
        <v>160</v>
      </c>
      <c r="D36" s="187">
        <f>(6.15+0.747+0.437+0.015)*1.075*1.2</f>
        <v>9.48021</v>
      </c>
      <c r="E36" s="345"/>
      <c r="F36" s="368"/>
      <c r="G36" s="339"/>
      <c r="H36" s="368"/>
      <c r="I36" s="42"/>
      <c r="J36" s="43"/>
      <c r="K36" s="42"/>
      <c r="L36" s="43"/>
      <c r="M36" s="42"/>
      <c r="N36" s="43"/>
      <c r="O36" s="32"/>
    </row>
    <row r="37" spans="1:15" ht="11.25" customHeight="1" thickBot="1">
      <c r="A37" s="342"/>
      <c r="B37" s="82" t="s">
        <v>107</v>
      </c>
      <c r="C37" s="78">
        <v>33</v>
      </c>
      <c r="D37" s="189">
        <f>159.562*1.075*1.2</f>
        <v>205.83498</v>
      </c>
      <c r="E37" s="346"/>
      <c r="F37" s="343"/>
      <c r="G37" s="208">
        <v>0</v>
      </c>
      <c r="H37" s="195">
        <v>6.91</v>
      </c>
      <c r="I37" s="42"/>
      <c r="J37" s="43"/>
      <c r="K37" s="42"/>
      <c r="L37" s="43"/>
      <c r="M37" s="42"/>
      <c r="N37" s="43"/>
      <c r="O37" s="32"/>
    </row>
    <row r="38" spans="1:15" ht="14.25" customHeight="1">
      <c r="A38" s="340" t="s">
        <v>24</v>
      </c>
      <c r="B38" s="86" t="s">
        <v>94</v>
      </c>
      <c r="C38" s="80">
        <v>2140</v>
      </c>
      <c r="D38" s="186">
        <f>(9.7+2.473+0.437+0.015)*1.075*1.2</f>
        <v>16.286249999999995</v>
      </c>
      <c r="E38" s="344">
        <v>45</v>
      </c>
      <c r="F38" s="367">
        <v>58.17</v>
      </c>
      <c r="G38" s="338">
        <v>934</v>
      </c>
      <c r="H38" s="367">
        <v>56.19</v>
      </c>
      <c r="I38" s="42"/>
      <c r="J38" s="43"/>
      <c r="K38" s="42"/>
      <c r="L38" s="43"/>
      <c r="M38" s="42"/>
      <c r="N38" s="43"/>
      <c r="O38" s="32"/>
    </row>
    <row r="39" spans="1:15" ht="14.25" customHeight="1">
      <c r="A39" s="341"/>
      <c r="B39" s="84" t="s">
        <v>95</v>
      </c>
      <c r="C39" s="79">
        <v>180</v>
      </c>
      <c r="D39" s="187">
        <f>(6.15+0.824+0.437+0.015)*1.075*1.2</f>
        <v>9.57954</v>
      </c>
      <c r="E39" s="345"/>
      <c r="F39" s="368"/>
      <c r="G39" s="339"/>
      <c r="H39" s="368"/>
      <c r="I39" s="42"/>
      <c r="J39" s="43"/>
      <c r="K39" s="42"/>
      <c r="L39" s="43"/>
      <c r="M39" s="42"/>
      <c r="N39" s="43"/>
      <c r="O39" s="32"/>
    </row>
    <row r="40" spans="1:15" ht="12.75" customHeight="1" thickBot="1">
      <c r="A40" s="342"/>
      <c r="B40" s="82" t="s">
        <v>107</v>
      </c>
      <c r="C40" s="78">
        <v>33</v>
      </c>
      <c r="D40" s="189">
        <f>173.626*1.075*1.2</f>
        <v>223.97754</v>
      </c>
      <c r="E40" s="346"/>
      <c r="F40" s="343"/>
      <c r="G40" s="208">
        <v>14321</v>
      </c>
      <c r="H40" s="195">
        <v>6.91</v>
      </c>
      <c r="I40" s="42"/>
      <c r="J40" s="43"/>
      <c r="K40" s="42"/>
      <c r="L40" s="43"/>
      <c r="M40" s="42"/>
      <c r="N40" s="43"/>
      <c r="O40" s="32"/>
    </row>
    <row r="41" spans="1:15" ht="15" customHeight="1">
      <c r="A41" s="340" t="s">
        <v>25</v>
      </c>
      <c r="B41" s="86" t="s">
        <v>94</v>
      </c>
      <c r="C41" s="80">
        <v>2100</v>
      </c>
      <c r="D41" s="186">
        <f>(9.7+2.473+0.437+0.015)*1.075*1.2</f>
        <v>16.286249999999995</v>
      </c>
      <c r="E41" s="344">
        <v>77</v>
      </c>
      <c r="F41" s="367">
        <v>58.17</v>
      </c>
      <c r="G41" s="338">
        <v>934</v>
      </c>
      <c r="H41" s="367">
        <v>56.19</v>
      </c>
      <c r="I41" s="42"/>
      <c r="J41" s="43"/>
      <c r="K41" s="42"/>
      <c r="L41" s="43"/>
      <c r="M41" s="42"/>
      <c r="N41" s="43"/>
      <c r="O41" s="32"/>
    </row>
    <row r="42" spans="1:15" ht="15" customHeight="1">
      <c r="A42" s="341"/>
      <c r="B42" s="84" t="s">
        <v>95</v>
      </c>
      <c r="C42" s="79">
        <v>180</v>
      </c>
      <c r="D42" s="187">
        <f>(6.15+0.824+0.437+0.015)*1.075*1.2</f>
        <v>9.57954</v>
      </c>
      <c r="E42" s="345"/>
      <c r="F42" s="368"/>
      <c r="G42" s="339"/>
      <c r="H42" s="368"/>
      <c r="I42" s="42"/>
      <c r="J42" s="43"/>
      <c r="K42" s="42"/>
      <c r="L42" s="43"/>
      <c r="M42" s="42"/>
      <c r="N42" s="43"/>
      <c r="O42" s="32"/>
    </row>
    <row r="43" spans="1:15" ht="15" customHeight="1" thickBot="1">
      <c r="A43" s="342"/>
      <c r="B43" s="82" t="s">
        <v>107</v>
      </c>
      <c r="C43" s="78">
        <v>33</v>
      </c>
      <c r="D43" s="189">
        <f>173.626*1.075*1.2</f>
        <v>223.97754</v>
      </c>
      <c r="E43" s="346"/>
      <c r="F43" s="343"/>
      <c r="G43" s="208">
        <v>22668</v>
      </c>
      <c r="H43" s="195">
        <v>6.91</v>
      </c>
      <c r="I43" s="42"/>
      <c r="J43" s="43"/>
      <c r="K43" s="42"/>
      <c r="L43" s="43"/>
      <c r="M43" s="42"/>
      <c r="N43" s="43"/>
      <c r="O43" s="32"/>
    </row>
    <row r="44" spans="1:15" ht="12" customHeight="1">
      <c r="A44" s="340" t="s">
        <v>26</v>
      </c>
      <c r="B44" s="86" t="s">
        <v>94</v>
      </c>
      <c r="C44" s="80"/>
      <c r="D44" s="186"/>
      <c r="E44" s="344"/>
      <c r="F44" s="367"/>
      <c r="G44" s="315"/>
      <c r="H44" s="327"/>
      <c r="I44" s="62"/>
      <c r="J44" s="34"/>
      <c r="K44" s="62"/>
      <c r="L44" s="34"/>
      <c r="M44" s="62"/>
      <c r="N44" s="34"/>
      <c r="O44" s="32"/>
    </row>
    <row r="45" spans="1:15" ht="12" customHeight="1">
      <c r="A45" s="341"/>
      <c r="B45" s="84" t="s">
        <v>95</v>
      </c>
      <c r="C45" s="79"/>
      <c r="D45" s="187"/>
      <c r="E45" s="345"/>
      <c r="F45" s="368"/>
      <c r="G45" s="316"/>
      <c r="H45" s="314"/>
      <c r="I45" s="62"/>
      <c r="J45" s="34"/>
      <c r="K45" s="62"/>
      <c r="L45" s="34"/>
      <c r="M45" s="62"/>
      <c r="N45" s="34"/>
      <c r="O45" s="32"/>
    </row>
    <row r="46" spans="1:15" ht="12.75" customHeight="1" thickBot="1">
      <c r="A46" s="347"/>
      <c r="B46" s="82" t="s">
        <v>107</v>
      </c>
      <c r="C46" s="88"/>
      <c r="D46" s="189"/>
      <c r="E46" s="348"/>
      <c r="F46" s="349"/>
      <c r="G46" s="194"/>
      <c r="H46" s="195"/>
      <c r="I46" s="37"/>
      <c r="J46" s="36"/>
      <c r="K46" s="37"/>
      <c r="L46" s="36"/>
      <c r="M46" s="37"/>
      <c r="N46" s="36"/>
      <c r="O46" s="32"/>
    </row>
    <row r="47" spans="1:15" ht="9.75" customHeight="1" thickTop="1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</row>
    <row r="48" ht="13.5" customHeight="1"/>
    <row r="49" spans="6:9" ht="13.5" customHeight="1">
      <c r="F49" s="92"/>
      <c r="G49" s="92"/>
      <c r="H49" s="92"/>
      <c r="I49" s="92"/>
    </row>
    <row r="50" spans="6:9" ht="13.5" customHeight="1">
      <c r="F50" s="92"/>
      <c r="G50" s="325"/>
      <c r="H50" s="326"/>
      <c r="I50" s="92"/>
    </row>
    <row r="51" spans="6:9" ht="13.5" customHeight="1">
      <c r="F51" s="92"/>
      <c r="G51" s="325"/>
      <c r="H51" s="326"/>
      <c r="I51" s="92"/>
    </row>
    <row r="52" spans="6:9" ht="13.5" customHeight="1">
      <c r="F52" s="92"/>
      <c r="G52" s="196"/>
      <c r="H52" s="174"/>
      <c r="I52" s="92"/>
    </row>
    <row r="53" ht="13.5" customHeight="1"/>
    <row r="54" ht="13.5" customHeight="1"/>
    <row r="55" ht="13.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</sheetData>
  <sheetProtection/>
  <mergeCells count="75">
    <mergeCell ref="G50:G51"/>
    <mergeCell ref="H50:H51"/>
    <mergeCell ref="G41:G42"/>
    <mergeCell ref="H41:H42"/>
    <mergeCell ref="H44:H45"/>
    <mergeCell ref="G44:G45"/>
    <mergeCell ref="F23:F25"/>
    <mergeCell ref="E35:E37"/>
    <mergeCell ref="G23:G24"/>
    <mergeCell ref="A26:A28"/>
    <mergeCell ref="E26:E28"/>
    <mergeCell ref="F26:F28"/>
    <mergeCell ref="F29:F31"/>
    <mergeCell ref="A23:A25"/>
    <mergeCell ref="A29:A31"/>
    <mergeCell ref="E29:E31"/>
    <mergeCell ref="F20:F22"/>
    <mergeCell ref="F14:F16"/>
    <mergeCell ref="E14:E16"/>
    <mergeCell ref="A11:A13"/>
    <mergeCell ref="A14:A16"/>
    <mergeCell ref="A20:A22"/>
    <mergeCell ref="A17:A19"/>
    <mergeCell ref="E17:E19"/>
    <mergeCell ref="E11:E13"/>
    <mergeCell ref="E20:E22"/>
    <mergeCell ref="M9:N9"/>
    <mergeCell ref="A6:N7"/>
    <mergeCell ref="A8:A10"/>
    <mergeCell ref="B8:D8"/>
    <mergeCell ref="E8:F8"/>
    <mergeCell ref="G8:N8"/>
    <mergeCell ref="D9:D10"/>
    <mergeCell ref="E9:E10"/>
    <mergeCell ref="B9:C10"/>
    <mergeCell ref="K9:L9"/>
    <mergeCell ref="I9:J9"/>
    <mergeCell ref="F17:F19"/>
    <mergeCell ref="F11:F13"/>
    <mergeCell ref="F9:F10"/>
    <mergeCell ref="G9:H9"/>
    <mergeCell ref="G14:G15"/>
    <mergeCell ref="H14:H15"/>
    <mergeCell ref="G11:G12"/>
    <mergeCell ref="H11:H12"/>
    <mergeCell ref="G17:G18"/>
    <mergeCell ref="E23:E25"/>
    <mergeCell ref="A44:A46"/>
    <mergeCell ref="E44:E46"/>
    <mergeCell ref="F44:F46"/>
    <mergeCell ref="A41:A43"/>
    <mergeCell ref="E41:E43"/>
    <mergeCell ref="F41:F43"/>
    <mergeCell ref="A32:A34"/>
    <mergeCell ref="E32:E34"/>
    <mergeCell ref="F32:F34"/>
    <mergeCell ref="A38:A40"/>
    <mergeCell ref="E38:E40"/>
    <mergeCell ref="F38:F40"/>
    <mergeCell ref="G38:G39"/>
    <mergeCell ref="G29:G30"/>
    <mergeCell ref="H29:H30"/>
    <mergeCell ref="G32:G33"/>
    <mergeCell ref="A35:A37"/>
    <mergeCell ref="F35:F37"/>
    <mergeCell ref="H17:H18"/>
    <mergeCell ref="G20:G21"/>
    <mergeCell ref="H20:H21"/>
    <mergeCell ref="H38:H39"/>
    <mergeCell ref="H23:H24"/>
    <mergeCell ref="G26:G27"/>
    <mergeCell ref="H26:H27"/>
    <mergeCell ref="G35:G36"/>
    <mergeCell ref="H35:H36"/>
    <mergeCell ref="H32:H33"/>
  </mergeCells>
  <printOptions/>
  <pageMargins left="0.46" right="0.59" top="0.36" bottom="0.74" header="0.29" footer="0.44"/>
  <pageSetup horizontalDpi="600" verticalDpi="600" orientation="landscape" paperSize="9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52"/>
  <sheetViews>
    <sheetView zoomScalePageLayoutView="0" workbookViewId="0" topLeftCell="A22">
      <selection activeCell="E44" sqref="E44:E46"/>
    </sheetView>
  </sheetViews>
  <sheetFormatPr defaultColWidth="9.140625" defaultRowHeight="12.75"/>
  <cols>
    <col min="1" max="1" width="18.57421875" style="0" customWidth="1"/>
    <col min="2" max="2" width="6.57421875" style="0" customWidth="1"/>
    <col min="3" max="3" width="10.00390625" style="0" customWidth="1"/>
    <col min="4" max="4" width="8.28125" style="0" customWidth="1"/>
    <col min="5" max="5" width="12.8515625" style="0" customWidth="1"/>
    <col min="6" max="6" width="6.421875" style="0" customWidth="1"/>
    <col min="7" max="7" width="15.140625" style="0" customWidth="1"/>
    <col min="8" max="8" width="9.421875" style="0" customWidth="1"/>
    <col min="9" max="9" width="11.28125" style="0" customWidth="1"/>
    <col min="10" max="10" width="6.57421875" style="0" customWidth="1"/>
    <col min="11" max="11" width="12.28125" style="0" customWidth="1"/>
    <col min="12" max="12" width="7.140625" style="0" customWidth="1"/>
    <col min="13" max="13" width="10.28125" style="0" customWidth="1"/>
  </cols>
  <sheetData>
    <row r="1" spans="1:15" ht="12.75">
      <c r="A1" s="44" t="s">
        <v>41</v>
      </c>
      <c r="B1" s="45" t="s">
        <v>42</v>
      </c>
      <c r="C1" s="45"/>
      <c r="D1" s="46"/>
      <c r="E1" s="47">
        <v>51400</v>
      </c>
      <c r="F1" s="47"/>
      <c r="G1" s="47"/>
      <c r="H1" s="47"/>
      <c r="I1" s="415" t="s">
        <v>29</v>
      </c>
      <c r="J1" s="415"/>
      <c r="K1" s="415"/>
      <c r="L1" s="48">
        <v>1081</v>
      </c>
      <c r="M1" s="47"/>
      <c r="N1" s="47"/>
      <c r="O1" s="46"/>
    </row>
    <row r="2" spans="1:15" ht="12.75">
      <c r="A2" s="45" t="s">
        <v>1</v>
      </c>
      <c r="B2" s="45" t="s">
        <v>57</v>
      </c>
      <c r="C2" s="45"/>
      <c r="D2" s="46"/>
      <c r="E2" s="47"/>
      <c r="F2" s="47"/>
      <c r="G2" s="47"/>
      <c r="H2" s="47"/>
      <c r="I2" s="415" t="s">
        <v>2</v>
      </c>
      <c r="J2" s="415"/>
      <c r="K2" s="415"/>
      <c r="L2" s="47">
        <v>8</v>
      </c>
      <c r="M2" s="47"/>
      <c r="N2" s="47"/>
      <c r="O2" s="46"/>
    </row>
    <row r="3" spans="1:15" ht="12.75">
      <c r="A3" s="45" t="s">
        <v>0</v>
      </c>
      <c r="B3" s="45" t="s">
        <v>38</v>
      </c>
      <c r="C3" s="45"/>
      <c r="D3" s="46"/>
      <c r="E3" s="47"/>
      <c r="F3" s="47"/>
      <c r="G3" s="47"/>
      <c r="H3" s="47"/>
      <c r="I3" s="415" t="s">
        <v>3</v>
      </c>
      <c r="J3" s="415"/>
      <c r="K3" s="415"/>
      <c r="L3" s="47" t="s">
        <v>49</v>
      </c>
      <c r="M3" s="47"/>
      <c r="N3" s="47"/>
      <c r="O3" s="46"/>
    </row>
    <row r="4" spans="1:15" ht="12.75">
      <c r="A4" s="45" t="s">
        <v>4</v>
      </c>
      <c r="B4" s="45">
        <v>208</v>
      </c>
      <c r="C4" s="45"/>
      <c r="D4" s="47"/>
      <c r="E4" s="47"/>
      <c r="F4" s="47"/>
      <c r="G4" s="47"/>
      <c r="H4" s="47"/>
      <c r="I4" s="45" t="s">
        <v>31</v>
      </c>
      <c r="J4" s="45"/>
      <c r="K4" s="45"/>
      <c r="L4" s="45" t="s">
        <v>62</v>
      </c>
      <c r="M4" s="47"/>
      <c r="N4" s="47"/>
      <c r="O4" s="47"/>
    </row>
    <row r="5" spans="1:15" ht="13.5" thickBot="1">
      <c r="A5" s="47"/>
      <c r="B5" s="47"/>
      <c r="C5" s="47"/>
      <c r="D5" s="47"/>
      <c r="E5" s="47"/>
      <c r="F5" s="47"/>
      <c r="G5" s="47"/>
      <c r="H5" s="47"/>
      <c r="I5" s="47"/>
      <c r="J5" s="47"/>
      <c r="K5" s="49"/>
      <c r="L5" s="49" t="s">
        <v>65</v>
      </c>
      <c r="M5" s="49"/>
      <c r="N5" s="47"/>
      <c r="O5" s="46"/>
    </row>
    <row r="6" spans="1:15" ht="13.5" thickTop="1">
      <c r="A6" s="416" t="s">
        <v>5</v>
      </c>
      <c r="B6" s="417"/>
      <c r="C6" s="417"/>
      <c r="D6" s="417"/>
      <c r="E6" s="417"/>
      <c r="F6" s="417"/>
      <c r="G6" s="417"/>
      <c r="H6" s="417"/>
      <c r="I6" s="417"/>
      <c r="J6" s="417"/>
      <c r="K6" s="417"/>
      <c r="L6" s="417"/>
      <c r="M6" s="417"/>
      <c r="N6" s="418"/>
      <c r="O6" s="46"/>
    </row>
    <row r="7" spans="1:15" ht="13.5" thickBot="1">
      <c r="A7" s="419"/>
      <c r="B7" s="420"/>
      <c r="C7" s="420"/>
      <c r="D7" s="420"/>
      <c r="E7" s="420"/>
      <c r="F7" s="420"/>
      <c r="G7" s="420"/>
      <c r="H7" s="420"/>
      <c r="I7" s="420"/>
      <c r="J7" s="420"/>
      <c r="K7" s="420"/>
      <c r="L7" s="420"/>
      <c r="M7" s="420"/>
      <c r="N7" s="421"/>
      <c r="O7" s="46"/>
    </row>
    <row r="8" spans="1:15" ht="14.25" thickBot="1" thickTop="1">
      <c r="A8" s="422" t="s">
        <v>6</v>
      </c>
      <c r="B8" s="424" t="s">
        <v>7</v>
      </c>
      <c r="C8" s="425"/>
      <c r="D8" s="426"/>
      <c r="E8" s="424" t="s">
        <v>11</v>
      </c>
      <c r="F8" s="426"/>
      <c r="G8" s="427" t="s">
        <v>15</v>
      </c>
      <c r="H8" s="428"/>
      <c r="I8" s="428"/>
      <c r="J8" s="428"/>
      <c r="K8" s="428"/>
      <c r="L8" s="428"/>
      <c r="M8" s="428"/>
      <c r="N8" s="313"/>
      <c r="O8" s="46"/>
    </row>
    <row r="9" spans="1:15" ht="13.5" thickTop="1">
      <c r="A9" s="304"/>
      <c r="B9" s="307" t="s">
        <v>8</v>
      </c>
      <c r="C9" s="407"/>
      <c r="D9" s="409" t="s">
        <v>9</v>
      </c>
      <c r="E9" s="429" t="s">
        <v>67</v>
      </c>
      <c r="F9" s="409" t="s">
        <v>9</v>
      </c>
      <c r="G9" s="411" t="s">
        <v>27</v>
      </c>
      <c r="H9" s="412"/>
      <c r="I9" s="411" t="s">
        <v>28</v>
      </c>
      <c r="J9" s="412"/>
      <c r="K9" s="411" t="s">
        <v>13</v>
      </c>
      <c r="L9" s="412"/>
      <c r="M9" s="411" t="s">
        <v>14</v>
      </c>
      <c r="N9" s="412"/>
      <c r="O9" s="46"/>
    </row>
    <row r="10" spans="1:15" ht="13.5" thickBot="1">
      <c r="A10" s="423"/>
      <c r="B10" s="406"/>
      <c r="C10" s="408"/>
      <c r="D10" s="302"/>
      <c r="E10" s="430"/>
      <c r="F10" s="431"/>
      <c r="G10" s="11" t="s">
        <v>114</v>
      </c>
      <c r="H10" s="53" t="s">
        <v>9</v>
      </c>
      <c r="I10" s="54" t="s">
        <v>12</v>
      </c>
      <c r="J10" s="53" t="s">
        <v>9</v>
      </c>
      <c r="K10" s="54" t="s">
        <v>67</v>
      </c>
      <c r="L10" s="53" t="s">
        <v>9</v>
      </c>
      <c r="M10" s="54" t="s">
        <v>30</v>
      </c>
      <c r="N10" s="53" t="s">
        <v>9</v>
      </c>
      <c r="O10" s="46"/>
    </row>
    <row r="11" spans="1:15" ht="15.75" customHeight="1" thickTop="1">
      <c r="A11" s="307" t="s">
        <v>16</v>
      </c>
      <c r="B11" s="262" t="s">
        <v>94</v>
      </c>
      <c r="C11" s="185">
        <v>1770</v>
      </c>
      <c r="D11" s="186">
        <f>(6.29+3.187+0.437+0.015)*1.075*1.2</f>
        <v>12.808409999999999</v>
      </c>
      <c r="E11" s="407">
        <f>72</f>
        <v>72</v>
      </c>
      <c r="F11" s="409">
        <v>52.47</v>
      </c>
      <c r="G11" s="413">
        <v>1098.8</v>
      </c>
      <c r="H11" s="317">
        <v>56.19</v>
      </c>
      <c r="I11" s="51"/>
      <c r="J11" s="52"/>
      <c r="K11" s="51"/>
      <c r="L11" s="52"/>
      <c r="M11" s="51"/>
      <c r="N11" s="52"/>
      <c r="O11" s="46"/>
    </row>
    <row r="12" spans="1:15" ht="15" customHeight="1">
      <c r="A12" s="406"/>
      <c r="B12" s="263" t="s">
        <v>95</v>
      </c>
      <c r="C12" s="89">
        <v>420</v>
      </c>
      <c r="D12" s="187">
        <f>(4.04+0.797+0.437+0.015)*1.075*1.2</f>
        <v>6.82281</v>
      </c>
      <c r="E12" s="408"/>
      <c r="F12" s="302"/>
      <c r="G12" s="414"/>
      <c r="H12" s="318"/>
      <c r="I12" s="55"/>
      <c r="J12" s="56"/>
      <c r="K12" s="55"/>
      <c r="L12" s="56"/>
      <c r="M12" s="55"/>
      <c r="N12" s="56"/>
      <c r="O12" s="46"/>
    </row>
    <row r="13" spans="1:15" ht="15" customHeight="1" thickBot="1">
      <c r="A13" s="406"/>
      <c r="B13" s="141" t="s">
        <v>113</v>
      </c>
      <c r="C13" s="149">
        <v>17.25</v>
      </c>
      <c r="D13" s="189">
        <f>49.291*1.075*1.2</f>
        <v>63.58538999999999</v>
      </c>
      <c r="E13" s="408"/>
      <c r="F13" s="302"/>
      <c r="G13" s="286">
        <v>29403</v>
      </c>
      <c r="H13" s="198">
        <v>6.91</v>
      </c>
      <c r="I13" s="55"/>
      <c r="J13" s="56"/>
      <c r="K13" s="55"/>
      <c r="L13" s="56"/>
      <c r="M13" s="55"/>
      <c r="N13" s="56"/>
      <c r="O13" s="46"/>
    </row>
    <row r="14" spans="1:15" ht="15" customHeight="1" thickTop="1">
      <c r="A14" s="304" t="s">
        <v>17</v>
      </c>
      <c r="B14" s="55" t="s">
        <v>94</v>
      </c>
      <c r="C14" s="172">
        <v>1590</v>
      </c>
      <c r="D14" s="186">
        <f>(6.29+3.485+0.437+0.015)*1.075*1.2</f>
        <v>13.19283</v>
      </c>
      <c r="E14" s="410">
        <v>167</v>
      </c>
      <c r="F14" s="313">
        <v>52.47</v>
      </c>
      <c r="G14" s="413">
        <v>1098.8</v>
      </c>
      <c r="H14" s="317">
        <v>56.19</v>
      </c>
      <c r="I14" s="55"/>
      <c r="J14" s="56"/>
      <c r="K14" s="55"/>
      <c r="L14" s="56"/>
      <c r="M14" s="55"/>
      <c r="N14" s="56"/>
      <c r="O14" s="46"/>
    </row>
    <row r="15" spans="1:15" ht="15" customHeight="1">
      <c r="A15" s="304"/>
      <c r="B15" s="55" t="s">
        <v>95</v>
      </c>
      <c r="C15" s="89">
        <v>450</v>
      </c>
      <c r="D15" s="187">
        <f>(4.04+0.871+0.437+0.015)*1.075*1.2</f>
        <v>6.918269999999999</v>
      </c>
      <c r="E15" s="345"/>
      <c r="F15" s="302"/>
      <c r="G15" s="414"/>
      <c r="H15" s="318"/>
      <c r="I15" s="55"/>
      <c r="J15" s="56"/>
      <c r="K15" s="55"/>
      <c r="L15" s="56"/>
      <c r="M15" s="55"/>
      <c r="N15" s="56"/>
      <c r="O15" s="46"/>
    </row>
    <row r="16" spans="1:15" ht="15" customHeight="1" thickBot="1">
      <c r="A16" s="304"/>
      <c r="B16" s="55" t="s">
        <v>113</v>
      </c>
      <c r="C16" s="89">
        <v>17.25</v>
      </c>
      <c r="D16" s="189">
        <f>49.863*1.075*1.2</f>
        <v>64.32327</v>
      </c>
      <c r="E16" s="345"/>
      <c r="F16" s="302"/>
      <c r="G16" s="286">
        <v>32748</v>
      </c>
      <c r="H16" s="198">
        <v>6.91</v>
      </c>
      <c r="I16" s="55"/>
      <c r="J16" s="56"/>
      <c r="K16" s="55"/>
      <c r="L16" s="56"/>
      <c r="M16" s="55"/>
      <c r="N16" s="56"/>
      <c r="O16" s="46"/>
    </row>
    <row r="17" spans="1:15" ht="15" customHeight="1" thickTop="1">
      <c r="A17" s="304" t="s">
        <v>18</v>
      </c>
      <c r="B17" s="51" t="s">
        <v>94</v>
      </c>
      <c r="C17" s="173">
        <v>2070</v>
      </c>
      <c r="D17" s="186">
        <f>(6.29+3.485+0.437+0.015)*1.075*1.2</f>
        <v>13.19283</v>
      </c>
      <c r="E17" s="305">
        <v>143</v>
      </c>
      <c r="F17" s="313">
        <v>52.47</v>
      </c>
      <c r="G17" s="308">
        <v>1098.8</v>
      </c>
      <c r="H17" s="317">
        <v>56.19</v>
      </c>
      <c r="I17" s="59"/>
      <c r="J17" s="50"/>
      <c r="K17" s="59"/>
      <c r="L17" s="50"/>
      <c r="M17" s="59"/>
      <c r="N17" s="50"/>
      <c r="O17" s="46"/>
    </row>
    <row r="18" spans="1:15" ht="15" customHeight="1">
      <c r="A18" s="304"/>
      <c r="B18" s="55" t="s">
        <v>95</v>
      </c>
      <c r="C18" s="89">
        <v>510</v>
      </c>
      <c r="D18" s="187">
        <f>(4.04+0.871+0.437+0.015)*1.075*1.2</f>
        <v>6.918269999999999</v>
      </c>
      <c r="E18" s="306"/>
      <c r="F18" s="302"/>
      <c r="G18" s="309"/>
      <c r="H18" s="318"/>
      <c r="I18" s="55"/>
      <c r="J18" s="56"/>
      <c r="K18" s="55"/>
      <c r="L18" s="56"/>
      <c r="M18" s="55"/>
      <c r="N18" s="56"/>
      <c r="O18" s="46"/>
    </row>
    <row r="19" spans="1:15" ht="15" customHeight="1" thickBot="1">
      <c r="A19" s="304"/>
      <c r="B19" s="55" t="s">
        <v>113</v>
      </c>
      <c r="C19" s="89">
        <v>17.25</v>
      </c>
      <c r="D19" s="189">
        <f>49.863*1.075*1.2</f>
        <v>64.32327</v>
      </c>
      <c r="E19" s="306"/>
      <c r="F19" s="302"/>
      <c r="G19" s="265">
        <v>25379</v>
      </c>
      <c r="H19" s="198">
        <v>6.91</v>
      </c>
      <c r="I19" s="55"/>
      <c r="J19" s="56"/>
      <c r="K19" s="55"/>
      <c r="L19" s="56"/>
      <c r="M19" s="55"/>
      <c r="N19" s="56"/>
      <c r="O19" s="46"/>
    </row>
    <row r="20" spans="1:15" ht="13.5" thickTop="1">
      <c r="A20" s="303" t="s">
        <v>19</v>
      </c>
      <c r="B20" s="51" t="s">
        <v>94</v>
      </c>
      <c r="C20" s="173">
        <v>1410</v>
      </c>
      <c r="D20" s="186">
        <f>(6.29+3.485+0.437+0.015)*1.075*1.2</f>
        <v>13.19283</v>
      </c>
      <c r="E20" s="305">
        <v>289</v>
      </c>
      <c r="F20" s="313">
        <v>52.47</v>
      </c>
      <c r="G20" s="308">
        <v>1098.8</v>
      </c>
      <c r="H20" s="317">
        <v>56.19</v>
      </c>
      <c r="I20" s="59"/>
      <c r="J20" s="50"/>
      <c r="K20" s="59"/>
      <c r="L20" s="50"/>
      <c r="M20" s="59"/>
      <c r="N20" s="50"/>
      <c r="O20" s="46"/>
    </row>
    <row r="21" spans="1:15" ht="12.75">
      <c r="A21" s="304"/>
      <c r="B21" s="55" t="s">
        <v>95</v>
      </c>
      <c r="C21" s="89">
        <v>390</v>
      </c>
      <c r="D21" s="187">
        <f>(4.04+0.871+0.437+0.015)*1.075*1.2</f>
        <v>6.918269999999999</v>
      </c>
      <c r="E21" s="306"/>
      <c r="F21" s="302"/>
      <c r="G21" s="309"/>
      <c r="H21" s="318"/>
      <c r="I21" s="55"/>
      <c r="J21" s="56"/>
      <c r="K21" s="55"/>
      <c r="L21" s="56"/>
      <c r="M21" s="55"/>
      <c r="N21" s="56"/>
      <c r="O21" s="46"/>
    </row>
    <row r="22" spans="1:15" ht="13.5" thickBot="1">
      <c r="A22" s="304"/>
      <c r="B22" s="55" t="s">
        <v>113</v>
      </c>
      <c r="C22" s="89">
        <v>17.25</v>
      </c>
      <c r="D22" s="189">
        <f>49.863*1.075*1.2</f>
        <v>64.32327</v>
      </c>
      <c r="E22" s="306"/>
      <c r="F22" s="302"/>
      <c r="G22" s="265">
        <v>20591</v>
      </c>
      <c r="H22" s="198">
        <v>6.91</v>
      </c>
      <c r="I22" s="55"/>
      <c r="J22" s="56"/>
      <c r="K22" s="55"/>
      <c r="L22" s="56"/>
      <c r="M22" s="55"/>
      <c r="N22" s="56"/>
      <c r="O22" s="46"/>
    </row>
    <row r="23" spans="1:15" ht="13.5" thickTop="1">
      <c r="A23" s="303" t="s">
        <v>20</v>
      </c>
      <c r="B23" s="51" t="s">
        <v>94</v>
      </c>
      <c r="C23" s="173">
        <v>1320</v>
      </c>
      <c r="D23" s="186">
        <f>(6.29+3.485+0.437+0.015)*1.075*1.2</f>
        <v>13.19283</v>
      </c>
      <c r="E23" s="305">
        <v>144</v>
      </c>
      <c r="F23" s="313">
        <v>52.47</v>
      </c>
      <c r="G23" s="308">
        <v>1098.8</v>
      </c>
      <c r="H23" s="317">
        <v>56.19</v>
      </c>
      <c r="I23" s="59"/>
      <c r="J23" s="50"/>
      <c r="K23" s="59"/>
      <c r="L23" s="50"/>
      <c r="M23" s="59"/>
      <c r="N23" s="50"/>
      <c r="O23" s="46"/>
    </row>
    <row r="24" spans="1:15" ht="12.75">
      <c r="A24" s="304"/>
      <c r="B24" s="55" t="s">
        <v>95</v>
      </c>
      <c r="C24" s="89">
        <v>330</v>
      </c>
      <c r="D24" s="187">
        <f>(4.04+0.871+0.437+0.015)*1.075*1.2</f>
        <v>6.918269999999999</v>
      </c>
      <c r="E24" s="306"/>
      <c r="F24" s="302"/>
      <c r="G24" s="309"/>
      <c r="H24" s="318"/>
      <c r="I24" s="55"/>
      <c r="J24" s="56"/>
      <c r="K24" s="55"/>
      <c r="L24" s="56"/>
      <c r="M24" s="55"/>
      <c r="N24" s="56"/>
      <c r="O24" s="46"/>
    </row>
    <row r="25" spans="1:15" ht="13.5" thickBot="1">
      <c r="A25" s="304"/>
      <c r="B25" s="55" t="s">
        <v>113</v>
      </c>
      <c r="C25" s="89">
        <v>17.25</v>
      </c>
      <c r="D25" s="189">
        <f>49.863*1.075*1.2</f>
        <v>64.32327</v>
      </c>
      <c r="E25" s="306"/>
      <c r="F25" s="302"/>
      <c r="G25" s="265">
        <v>0</v>
      </c>
      <c r="H25" s="198">
        <v>6.91</v>
      </c>
      <c r="I25" s="55"/>
      <c r="J25" s="56"/>
      <c r="K25" s="55"/>
      <c r="L25" s="56"/>
      <c r="M25" s="55"/>
      <c r="N25" s="56"/>
      <c r="O25" s="46"/>
    </row>
    <row r="26" spans="1:15" ht="13.5" thickTop="1">
      <c r="A26" s="303" t="s">
        <v>68</v>
      </c>
      <c r="B26" s="51" t="s">
        <v>94</v>
      </c>
      <c r="C26" s="173">
        <v>1020</v>
      </c>
      <c r="D26" s="186">
        <f>(6.29+3.485+0.437+0.015)*1.075*1.2</f>
        <v>13.19283</v>
      </c>
      <c r="E26" s="305">
        <v>110</v>
      </c>
      <c r="F26" s="313">
        <v>52.47</v>
      </c>
      <c r="G26" s="308">
        <v>1098.8</v>
      </c>
      <c r="H26" s="317">
        <v>56.19</v>
      </c>
      <c r="I26" s="59"/>
      <c r="J26" s="50"/>
      <c r="K26" s="59"/>
      <c r="L26" s="50"/>
      <c r="M26" s="59"/>
      <c r="N26" s="50"/>
      <c r="O26" s="46"/>
    </row>
    <row r="27" spans="1:15" ht="12.75">
      <c r="A27" s="304"/>
      <c r="B27" s="55" t="s">
        <v>95</v>
      </c>
      <c r="C27" s="89">
        <v>180</v>
      </c>
      <c r="D27" s="187">
        <f>(4.04+0.871+0.437+0.015)*1.075*1.2</f>
        <v>6.918269999999999</v>
      </c>
      <c r="E27" s="306"/>
      <c r="F27" s="302"/>
      <c r="G27" s="309"/>
      <c r="H27" s="318"/>
      <c r="I27" s="55"/>
      <c r="J27" s="56"/>
      <c r="K27" s="55"/>
      <c r="L27" s="56"/>
      <c r="M27" s="55"/>
      <c r="N27" s="56"/>
      <c r="O27" s="46"/>
    </row>
    <row r="28" spans="1:15" ht="13.5" thickBot="1">
      <c r="A28" s="304"/>
      <c r="B28" s="55" t="s">
        <v>113</v>
      </c>
      <c r="C28" s="89">
        <v>17.25</v>
      </c>
      <c r="D28" s="189">
        <f>49.863*1.075*1.2</f>
        <v>64.32327</v>
      </c>
      <c r="E28" s="306"/>
      <c r="F28" s="302"/>
      <c r="G28" s="265">
        <v>0</v>
      </c>
      <c r="H28" s="198">
        <v>6.91</v>
      </c>
      <c r="I28" s="55"/>
      <c r="J28" s="56"/>
      <c r="K28" s="55"/>
      <c r="L28" s="56"/>
      <c r="M28" s="55"/>
      <c r="N28" s="56"/>
      <c r="O28" s="46"/>
    </row>
    <row r="29" spans="1:15" ht="13.5" thickTop="1">
      <c r="A29" s="303" t="s">
        <v>69</v>
      </c>
      <c r="B29" s="51" t="s">
        <v>94</v>
      </c>
      <c r="C29" s="173">
        <v>930</v>
      </c>
      <c r="D29" s="186">
        <f>(6.29+3.485+0.437+0.015)*1.075*1.2</f>
        <v>13.19283</v>
      </c>
      <c r="E29" s="305">
        <v>100</v>
      </c>
      <c r="F29" s="313">
        <v>52.47</v>
      </c>
      <c r="G29" s="308">
        <v>1098.8</v>
      </c>
      <c r="H29" s="317">
        <v>56.19</v>
      </c>
      <c r="I29" s="59"/>
      <c r="J29" s="50"/>
      <c r="K29" s="59"/>
      <c r="L29" s="50"/>
      <c r="M29" s="59"/>
      <c r="N29" s="50"/>
      <c r="O29" s="46"/>
    </row>
    <row r="30" spans="1:15" ht="12.75">
      <c r="A30" s="304"/>
      <c r="B30" s="55" t="s">
        <v>95</v>
      </c>
      <c r="C30" s="89">
        <v>180</v>
      </c>
      <c r="D30" s="187">
        <f>(4.04+0.871+0.437+0.015)*1.075*1.2</f>
        <v>6.918269999999999</v>
      </c>
      <c r="E30" s="306"/>
      <c r="F30" s="302"/>
      <c r="G30" s="309"/>
      <c r="H30" s="318"/>
      <c r="I30" s="55"/>
      <c r="J30" s="56"/>
      <c r="K30" s="55"/>
      <c r="L30" s="56"/>
      <c r="M30" s="55"/>
      <c r="N30" s="56"/>
      <c r="O30" s="46"/>
    </row>
    <row r="31" spans="1:15" ht="13.5" thickBot="1">
      <c r="A31" s="304"/>
      <c r="B31" s="55" t="s">
        <v>113</v>
      </c>
      <c r="C31" s="89">
        <v>17.25</v>
      </c>
      <c r="D31" s="189">
        <f>49.863*1.075*1.2</f>
        <v>64.32327</v>
      </c>
      <c r="E31" s="306"/>
      <c r="F31" s="302"/>
      <c r="G31" s="265">
        <v>0</v>
      </c>
      <c r="H31" s="198">
        <v>6.91</v>
      </c>
      <c r="I31" s="55"/>
      <c r="J31" s="56"/>
      <c r="K31" s="55"/>
      <c r="L31" s="56"/>
      <c r="M31" s="55"/>
      <c r="N31" s="56"/>
      <c r="O31" s="46"/>
    </row>
    <row r="32" spans="1:15" ht="13.5" thickTop="1">
      <c r="A32" s="303" t="s">
        <v>22</v>
      </c>
      <c r="B32" s="51" t="s">
        <v>94</v>
      </c>
      <c r="C32" s="173">
        <v>900</v>
      </c>
      <c r="D32" s="186">
        <f>(6.29+3.485+0.437+0.015)*1.075*1.2</f>
        <v>13.19283</v>
      </c>
      <c r="E32" s="305">
        <v>230</v>
      </c>
      <c r="F32" s="313">
        <v>52.47</v>
      </c>
      <c r="G32" s="308">
        <v>1098.8</v>
      </c>
      <c r="H32" s="317">
        <v>56.19</v>
      </c>
      <c r="I32" s="57"/>
      <c r="J32" s="58"/>
      <c r="K32" s="57"/>
      <c r="L32" s="58"/>
      <c r="M32" s="57"/>
      <c r="N32" s="58"/>
      <c r="O32" s="46"/>
    </row>
    <row r="33" spans="1:15" ht="12.75">
      <c r="A33" s="304"/>
      <c r="B33" s="55" t="s">
        <v>95</v>
      </c>
      <c r="C33" s="89">
        <v>210</v>
      </c>
      <c r="D33" s="187">
        <f>(4.04+0.871+0.437+0.015)*1.075*1.2</f>
        <v>6.918269999999999</v>
      </c>
      <c r="E33" s="306"/>
      <c r="F33" s="302"/>
      <c r="G33" s="309"/>
      <c r="H33" s="318"/>
      <c r="I33" s="57"/>
      <c r="J33" s="58"/>
      <c r="K33" s="57"/>
      <c r="L33" s="58"/>
      <c r="M33" s="57"/>
      <c r="N33" s="58"/>
      <c r="O33" s="46"/>
    </row>
    <row r="34" spans="1:15" ht="13.5" thickBot="1">
      <c r="A34" s="304"/>
      <c r="B34" s="55" t="s">
        <v>113</v>
      </c>
      <c r="C34" s="89">
        <v>17.25</v>
      </c>
      <c r="D34" s="189">
        <f>49.863*1.075*1.2</f>
        <v>64.32327</v>
      </c>
      <c r="E34" s="306"/>
      <c r="F34" s="302"/>
      <c r="G34" s="265">
        <v>0</v>
      </c>
      <c r="H34" s="198">
        <v>6.91</v>
      </c>
      <c r="I34" s="57"/>
      <c r="J34" s="58"/>
      <c r="K34" s="57"/>
      <c r="L34" s="58"/>
      <c r="M34" s="57"/>
      <c r="N34" s="58"/>
      <c r="O34" s="46"/>
    </row>
    <row r="35" spans="1:15" ht="13.5" thickTop="1">
      <c r="A35" s="303" t="s">
        <v>23</v>
      </c>
      <c r="B35" s="51" t="s">
        <v>94</v>
      </c>
      <c r="C35" s="173">
        <v>1350</v>
      </c>
      <c r="D35" s="186">
        <f>(9.7+3.485+0.437+0.015)*1.075*1.2</f>
        <v>17.59173</v>
      </c>
      <c r="E35" s="305">
        <v>0</v>
      </c>
      <c r="F35" s="313">
        <v>58.17</v>
      </c>
      <c r="G35" s="308">
        <v>1098.8</v>
      </c>
      <c r="H35" s="317">
        <v>56.19</v>
      </c>
      <c r="I35" s="60"/>
      <c r="J35" s="61"/>
      <c r="K35" s="60"/>
      <c r="L35" s="61"/>
      <c r="M35" s="60"/>
      <c r="N35" s="61"/>
      <c r="O35" s="46"/>
    </row>
    <row r="36" spans="1:15" ht="12.75">
      <c r="A36" s="304"/>
      <c r="B36" s="55" t="s">
        <v>95</v>
      </c>
      <c r="C36" s="89">
        <v>270</v>
      </c>
      <c r="D36" s="187">
        <f>(6.15+0.871+0.437+0.015)*1.075*1.2</f>
        <v>9.640170000000001</v>
      </c>
      <c r="E36" s="306"/>
      <c r="F36" s="302"/>
      <c r="G36" s="309"/>
      <c r="H36" s="318"/>
      <c r="I36" s="60"/>
      <c r="J36" s="61"/>
      <c r="K36" s="60"/>
      <c r="L36" s="61"/>
      <c r="M36" s="60"/>
      <c r="N36" s="61"/>
      <c r="O36" s="46"/>
    </row>
    <row r="37" spans="1:15" ht="13.5" thickBot="1">
      <c r="A37" s="304"/>
      <c r="B37" s="55" t="s">
        <v>113</v>
      </c>
      <c r="C37" s="89">
        <v>17.25</v>
      </c>
      <c r="D37" s="189">
        <f>49.863*1.075*1.2</f>
        <v>64.32327</v>
      </c>
      <c r="E37" s="306"/>
      <c r="F37" s="302"/>
      <c r="G37" s="265">
        <v>0</v>
      </c>
      <c r="H37" s="198">
        <v>6.91</v>
      </c>
      <c r="I37" s="60"/>
      <c r="J37" s="61"/>
      <c r="K37" s="60"/>
      <c r="L37" s="61"/>
      <c r="M37" s="60"/>
      <c r="N37" s="61"/>
      <c r="O37" s="46"/>
    </row>
    <row r="38" spans="1:15" ht="13.5" thickTop="1">
      <c r="A38" s="303" t="s">
        <v>24</v>
      </c>
      <c r="B38" s="51" t="s">
        <v>94</v>
      </c>
      <c r="C38" s="173">
        <v>2160</v>
      </c>
      <c r="D38" s="186">
        <f>(9.7+3.879+0.437+0.015)*1.075*1.2</f>
        <v>18.09999</v>
      </c>
      <c r="E38" s="305">
        <v>160</v>
      </c>
      <c r="F38" s="313">
        <v>58.17</v>
      </c>
      <c r="G38" s="308">
        <v>1098.8</v>
      </c>
      <c r="H38" s="317">
        <v>56.19</v>
      </c>
      <c r="I38" s="60"/>
      <c r="J38" s="61"/>
      <c r="K38" s="60"/>
      <c r="L38" s="61"/>
      <c r="M38" s="60"/>
      <c r="N38" s="61"/>
      <c r="O38" s="46"/>
    </row>
    <row r="39" spans="1:15" ht="12.75">
      <c r="A39" s="304"/>
      <c r="B39" s="55" t="s">
        <v>95</v>
      </c>
      <c r="C39" s="89">
        <v>450</v>
      </c>
      <c r="D39" s="187">
        <f>(6.15+0.97+0.437+0.015)*1.075*1.2</f>
        <v>9.767879999999998</v>
      </c>
      <c r="E39" s="306"/>
      <c r="F39" s="302"/>
      <c r="G39" s="309"/>
      <c r="H39" s="318"/>
      <c r="I39" s="60"/>
      <c r="J39" s="61"/>
      <c r="K39" s="60"/>
      <c r="L39" s="61"/>
      <c r="M39" s="60"/>
      <c r="N39" s="61"/>
      <c r="O39" s="46"/>
    </row>
    <row r="40" spans="1:15" ht="13.5" thickBot="1">
      <c r="A40" s="304"/>
      <c r="B40" s="55" t="s">
        <v>113</v>
      </c>
      <c r="C40" s="89">
        <v>17.25</v>
      </c>
      <c r="D40" s="189">
        <f>54.258*1.075*1.2</f>
        <v>69.99282</v>
      </c>
      <c r="E40" s="306"/>
      <c r="F40" s="302"/>
      <c r="G40" s="265">
        <v>12968</v>
      </c>
      <c r="H40" s="198">
        <v>6.91</v>
      </c>
      <c r="I40" s="60"/>
      <c r="J40" s="61"/>
      <c r="K40" s="60"/>
      <c r="L40" s="61"/>
      <c r="M40" s="60"/>
      <c r="N40" s="61"/>
      <c r="O40" s="46"/>
    </row>
    <row r="41" spans="1:15" ht="13.5" thickTop="1">
      <c r="A41" s="303" t="s">
        <v>25</v>
      </c>
      <c r="B41" s="51" t="s">
        <v>94</v>
      </c>
      <c r="C41" s="173">
        <v>2070</v>
      </c>
      <c r="D41" s="186">
        <f>(9.7+3.879+0.437+0.015)*1.075*1.2</f>
        <v>18.09999</v>
      </c>
      <c r="E41" s="305">
        <v>0</v>
      </c>
      <c r="F41" s="313">
        <v>58.17</v>
      </c>
      <c r="G41" s="308">
        <v>1098.8</v>
      </c>
      <c r="H41" s="317">
        <v>56.19</v>
      </c>
      <c r="I41" s="60"/>
      <c r="J41" s="61"/>
      <c r="K41" s="60"/>
      <c r="L41" s="61"/>
      <c r="M41" s="60"/>
      <c r="N41" s="61"/>
      <c r="O41" s="46"/>
    </row>
    <row r="42" spans="1:15" ht="12.75">
      <c r="A42" s="304"/>
      <c r="B42" s="55" t="s">
        <v>95</v>
      </c>
      <c r="C42" s="89">
        <v>360</v>
      </c>
      <c r="D42" s="187">
        <f>(6.15+0.97+0.437+0.015)*1.075*1.2</f>
        <v>9.767879999999998</v>
      </c>
      <c r="E42" s="306"/>
      <c r="F42" s="302"/>
      <c r="G42" s="309"/>
      <c r="H42" s="318"/>
      <c r="I42" s="60"/>
      <c r="J42" s="61"/>
      <c r="K42" s="60"/>
      <c r="L42" s="61"/>
      <c r="M42" s="60"/>
      <c r="N42" s="61"/>
      <c r="O42" s="46"/>
    </row>
    <row r="43" spans="1:15" ht="13.5" thickBot="1">
      <c r="A43" s="304"/>
      <c r="B43" s="55" t="s">
        <v>113</v>
      </c>
      <c r="C43" s="89">
        <v>17.25</v>
      </c>
      <c r="D43" s="189">
        <f>54.258*1.075*1.2</f>
        <v>69.99282</v>
      </c>
      <c r="E43" s="306"/>
      <c r="F43" s="302"/>
      <c r="G43" s="265">
        <v>26267</v>
      </c>
      <c r="H43" s="198">
        <v>6.91</v>
      </c>
      <c r="I43" s="59"/>
      <c r="J43" s="50"/>
      <c r="K43" s="59"/>
      <c r="L43" s="50"/>
      <c r="M43" s="59"/>
      <c r="N43" s="50"/>
      <c r="O43" s="46"/>
    </row>
    <row r="44" spans="1:15" ht="13.5" thickTop="1">
      <c r="A44" s="310" t="s">
        <v>26</v>
      </c>
      <c r="B44" s="51" t="s">
        <v>94</v>
      </c>
      <c r="C44" s="185"/>
      <c r="D44" s="186"/>
      <c r="E44" s="311"/>
      <c r="F44" s="312"/>
      <c r="G44" s="315"/>
      <c r="H44" s="327"/>
      <c r="I44" s="146"/>
      <c r="J44" s="146"/>
      <c r="K44" s="146"/>
      <c r="L44" s="146"/>
      <c r="M44" s="146"/>
      <c r="N44" s="146"/>
      <c r="O44" s="46"/>
    </row>
    <row r="45" spans="1:15" ht="12.75">
      <c r="A45" s="310"/>
      <c r="B45" s="55" t="s">
        <v>95</v>
      </c>
      <c r="C45" s="89"/>
      <c r="D45" s="187"/>
      <c r="E45" s="311"/>
      <c r="F45" s="312"/>
      <c r="G45" s="316"/>
      <c r="H45" s="314"/>
      <c r="I45" s="146"/>
      <c r="J45" s="146"/>
      <c r="K45" s="146"/>
      <c r="L45" s="146"/>
      <c r="M45" s="146"/>
      <c r="N45" s="146"/>
      <c r="O45" s="46"/>
    </row>
    <row r="46" spans="1:15" ht="13.5" thickBot="1">
      <c r="A46" s="310"/>
      <c r="B46" s="55" t="s">
        <v>113</v>
      </c>
      <c r="C46" s="149"/>
      <c r="D46" s="189"/>
      <c r="E46" s="311"/>
      <c r="F46" s="312"/>
      <c r="G46" s="194"/>
      <c r="H46" s="195"/>
      <c r="I46" s="146"/>
      <c r="J46" s="146"/>
      <c r="K46" s="146"/>
      <c r="L46" s="146"/>
      <c r="M46" s="146"/>
      <c r="N46" s="146"/>
      <c r="O46" s="46"/>
    </row>
    <row r="47" spans="1:15" ht="12.75">
      <c r="A47" s="49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6"/>
    </row>
    <row r="48" spans="1:14" s="27" customFormat="1" ht="12.75">
      <c r="A48" s="403" t="s">
        <v>32</v>
      </c>
      <c r="B48" s="403"/>
      <c r="C48" s="403"/>
      <c r="D48" s="404"/>
      <c r="E48" s="23"/>
      <c r="F48" s="23"/>
      <c r="G48" s="23"/>
      <c r="H48" s="23"/>
      <c r="I48" s="23"/>
      <c r="J48" s="23"/>
      <c r="K48" s="23"/>
      <c r="L48" s="23"/>
      <c r="M48" s="23"/>
      <c r="N48" s="23"/>
    </row>
    <row r="49" spans="1:14" s="27" customFormat="1" ht="12.75">
      <c r="A49" s="23"/>
      <c r="B49" s="22" t="s">
        <v>33</v>
      </c>
      <c r="C49" s="22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</row>
    <row r="50" spans="1:14" s="27" customFormat="1" ht="12.75">
      <c r="A50" s="23"/>
      <c r="B50" s="403" t="s">
        <v>35</v>
      </c>
      <c r="C50" s="403"/>
      <c r="D50" s="403"/>
      <c r="E50" s="404"/>
      <c r="F50" s="23"/>
      <c r="G50" s="23"/>
      <c r="H50" s="23"/>
      <c r="I50" s="23"/>
      <c r="J50" s="23"/>
      <c r="K50" s="23"/>
      <c r="L50" s="23"/>
      <c r="M50" s="23"/>
      <c r="N50" s="23"/>
    </row>
    <row r="51" spans="1:14" s="27" customFormat="1" ht="12.75">
      <c r="A51" s="23"/>
      <c r="B51" s="403" t="s">
        <v>34</v>
      </c>
      <c r="C51" s="403"/>
      <c r="D51" s="403"/>
      <c r="E51" s="23"/>
      <c r="F51" s="23"/>
      <c r="G51" s="23"/>
      <c r="H51" s="23"/>
      <c r="I51" s="23"/>
      <c r="J51" s="23"/>
      <c r="K51" s="23"/>
      <c r="L51" s="23"/>
      <c r="M51" s="23"/>
      <c r="N51" s="23"/>
    </row>
    <row r="52" spans="1:14" s="27" customFormat="1" ht="12.75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</row>
    <row r="53" s="27" customFormat="1" ht="12.75"/>
  </sheetData>
  <sheetProtection/>
  <mergeCells count="79">
    <mergeCell ref="F26:F28"/>
    <mergeCell ref="G26:G27"/>
    <mergeCell ref="E32:E34"/>
    <mergeCell ref="F32:F34"/>
    <mergeCell ref="A23:A25"/>
    <mergeCell ref="A35:A37"/>
    <mergeCell ref="F35:F37"/>
    <mergeCell ref="E35:E37"/>
    <mergeCell ref="E29:E31"/>
    <mergeCell ref="F29:F31"/>
    <mergeCell ref="A32:A34"/>
    <mergeCell ref="A29:A31"/>
    <mergeCell ref="A26:A28"/>
    <mergeCell ref="E26:E28"/>
    <mergeCell ref="A48:D48"/>
    <mergeCell ref="B50:E50"/>
    <mergeCell ref="B51:D51"/>
    <mergeCell ref="G8:N8"/>
    <mergeCell ref="D9:D10"/>
    <mergeCell ref="E9:E10"/>
    <mergeCell ref="F9:F10"/>
    <mergeCell ref="G9:H9"/>
    <mergeCell ref="G35:G36"/>
    <mergeCell ref="G32:G33"/>
    <mergeCell ref="A8:A10"/>
    <mergeCell ref="B8:D8"/>
    <mergeCell ref="E8:F8"/>
    <mergeCell ref="B9:C10"/>
    <mergeCell ref="I1:K1"/>
    <mergeCell ref="I2:K2"/>
    <mergeCell ref="I3:K3"/>
    <mergeCell ref="A6:N7"/>
    <mergeCell ref="E23:E25"/>
    <mergeCell ref="F23:F25"/>
    <mergeCell ref="K9:L9"/>
    <mergeCell ref="M9:N9"/>
    <mergeCell ref="I9:J9"/>
    <mergeCell ref="G11:G12"/>
    <mergeCell ref="H11:H12"/>
    <mergeCell ref="G14:G15"/>
    <mergeCell ref="H14:H15"/>
    <mergeCell ref="G20:G21"/>
    <mergeCell ref="A11:A13"/>
    <mergeCell ref="A14:A16"/>
    <mergeCell ref="E11:E13"/>
    <mergeCell ref="F11:F13"/>
    <mergeCell ref="F14:F16"/>
    <mergeCell ref="E14:E16"/>
    <mergeCell ref="A17:A19"/>
    <mergeCell ref="E17:E19"/>
    <mergeCell ref="F17:F19"/>
    <mergeCell ref="A20:A22"/>
    <mergeCell ref="E20:E22"/>
    <mergeCell ref="F20:F22"/>
    <mergeCell ref="F41:F43"/>
    <mergeCell ref="G41:G42"/>
    <mergeCell ref="G38:G39"/>
    <mergeCell ref="A38:A40"/>
    <mergeCell ref="E38:E40"/>
    <mergeCell ref="H23:H24"/>
    <mergeCell ref="H26:H27"/>
    <mergeCell ref="A44:A46"/>
    <mergeCell ref="E44:E46"/>
    <mergeCell ref="F44:F46"/>
    <mergeCell ref="G44:G45"/>
    <mergeCell ref="F38:F40"/>
    <mergeCell ref="H38:H39"/>
    <mergeCell ref="A41:A43"/>
    <mergeCell ref="E41:E43"/>
    <mergeCell ref="H20:H21"/>
    <mergeCell ref="G17:G18"/>
    <mergeCell ref="H17:H18"/>
    <mergeCell ref="H44:H45"/>
    <mergeCell ref="H41:H42"/>
    <mergeCell ref="H35:H36"/>
    <mergeCell ref="H32:H33"/>
    <mergeCell ref="G29:G30"/>
    <mergeCell ref="H29:H30"/>
    <mergeCell ref="G23:G24"/>
  </mergeCells>
  <printOptions/>
  <pageMargins left="0.33" right="0.19" top="0.29" bottom="0.54" header="0.34" footer="0.31"/>
  <pageSetup horizontalDpi="600" verticalDpi="600" orientation="landscape" paperSize="9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54"/>
  <sheetViews>
    <sheetView zoomScalePageLayoutView="0" workbookViewId="0" topLeftCell="A22">
      <selection activeCell="C44" sqref="C44"/>
    </sheetView>
  </sheetViews>
  <sheetFormatPr defaultColWidth="9.140625" defaultRowHeight="12.75"/>
  <cols>
    <col min="1" max="1" width="18.140625" style="0" customWidth="1"/>
    <col min="2" max="2" width="8.140625" style="0" customWidth="1"/>
    <col min="3" max="3" width="10.57421875" style="0" customWidth="1"/>
    <col min="4" max="4" width="7.8515625" style="0" customWidth="1"/>
    <col min="5" max="5" width="10.7109375" style="0" customWidth="1"/>
    <col min="6" max="6" width="6.140625" style="0" customWidth="1"/>
    <col min="7" max="7" width="14.8515625" style="0" customWidth="1"/>
    <col min="8" max="8" width="7.8515625" style="0" customWidth="1"/>
    <col min="9" max="9" width="10.00390625" style="0" customWidth="1"/>
    <col min="10" max="10" width="7.7109375" style="0" customWidth="1"/>
    <col min="11" max="11" width="11.57421875" style="0" customWidth="1"/>
    <col min="12" max="12" width="7.00390625" style="0" customWidth="1"/>
    <col min="13" max="13" width="11.140625" style="0" customWidth="1"/>
    <col min="14" max="14" width="7.28125" style="0" customWidth="1"/>
  </cols>
  <sheetData>
    <row r="1" spans="1:15" ht="12.75">
      <c r="A1" s="44" t="s">
        <v>41</v>
      </c>
      <c r="B1" s="45" t="s">
        <v>43</v>
      </c>
      <c r="C1" s="45"/>
      <c r="D1" s="47"/>
      <c r="E1" s="47">
        <v>50668</v>
      </c>
      <c r="F1" s="47"/>
      <c r="G1" s="47"/>
      <c r="H1" s="47"/>
      <c r="I1" s="415" t="s">
        <v>29</v>
      </c>
      <c r="J1" s="415"/>
      <c r="K1" s="415"/>
      <c r="L1" s="48">
        <v>1101</v>
      </c>
      <c r="M1" s="49"/>
      <c r="N1" s="49"/>
      <c r="O1" s="46"/>
    </row>
    <row r="2" spans="1:15" ht="12.75">
      <c r="A2" s="45" t="s">
        <v>1</v>
      </c>
      <c r="B2" s="45" t="s">
        <v>55</v>
      </c>
      <c r="C2" s="45"/>
      <c r="D2" s="47"/>
      <c r="E2" s="47">
        <v>50669</v>
      </c>
      <c r="F2" s="47"/>
      <c r="G2" s="47"/>
      <c r="H2" s="47"/>
      <c r="I2" s="415" t="s">
        <v>2</v>
      </c>
      <c r="J2" s="415"/>
      <c r="K2" s="415"/>
      <c r="L2" s="47">
        <v>8</v>
      </c>
      <c r="M2" s="49"/>
      <c r="N2" s="49"/>
      <c r="O2" s="46"/>
    </row>
    <row r="3" spans="1:15" ht="12.75">
      <c r="A3" s="45" t="s">
        <v>0</v>
      </c>
      <c r="B3" s="45" t="s">
        <v>38</v>
      </c>
      <c r="C3" s="45"/>
      <c r="D3" s="47"/>
      <c r="E3" s="47"/>
      <c r="F3" s="47"/>
      <c r="G3" s="47"/>
      <c r="H3" s="47"/>
      <c r="I3" s="415" t="s">
        <v>3</v>
      </c>
      <c r="J3" s="415"/>
      <c r="K3" s="415"/>
      <c r="L3" s="47">
        <v>1</v>
      </c>
      <c r="M3" s="49"/>
      <c r="N3" s="49"/>
      <c r="O3" s="46"/>
    </row>
    <row r="4" spans="1:15" ht="12.75">
      <c r="A4" s="45" t="s">
        <v>4</v>
      </c>
      <c r="B4" s="45">
        <v>189</v>
      </c>
      <c r="C4" s="45"/>
      <c r="D4" s="47"/>
      <c r="E4" s="47"/>
      <c r="F4" s="47"/>
      <c r="G4" s="47"/>
      <c r="H4" s="47"/>
      <c r="I4" s="45" t="s">
        <v>31</v>
      </c>
      <c r="J4" s="45"/>
      <c r="K4" s="45"/>
      <c r="L4" s="45" t="s">
        <v>62</v>
      </c>
      <c r="M4" s="47"/>
      <c r="N4" s="47"/>
      <c r="O4" s="47"/>
    </row>
    <row r="5" spans="1:15" ht="13.5" thickBot="1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  <c r="L5" s="49" t="s">
        <v>65</v>
      </c>
      <c r="M5" s="49"/>
      <c r="N5" s="49"/>
      <c r="O5" s="46"/>
    </row>
    <row r="6" spans="1:15" ht="12.75" customHeight="1" thickTop="1">
      <c r="A6" s="416" t="s">
        <v>5</v>
      </c>
      <c r="B6" s="417"/>
      <c r="C6" s="417"/>
      <c r="D6" s="417"/>
      <c r="E6" s="417"/>
      <c r="F6" s="417"/>
      <c r="G6" s="417"/>
      <c r="H6" s="417"/>
      <c r="I6" s="417"/>
      <c r="J6" s="417"/>
      <c r="K6" s="417"/>
      <c r="L6" s="417"/>
      <c r="M6" s="417"/>
      <c r="N6" s="418"/>
      <c r="O6" s="46"/>
    </row>
    <row r="7" spans="1:15" ht="12.75" customHeight="1" thickBot="1">
      <c r="A7" s="419"/>
      <c r="B7" s="420"/>
      <c r="C7" s="420"/>
      <c r="D7" s="420"/>
      <c r="E7" s="420"/>
      <c r="F7" s="420"/>
      <c r="G7" s="420"/>
      <c r="H7" s="420"/>
      <c r="I7" s="420"/>
      <c r="J7" s="420"/>
      <c r="K7" s="420"/>
      <c r="L7" s="420"/>
      <c r="M7" s="420"/>
      <c r="N7" s="421"/>
      <c r="O7" s="46"/>
    </row>
    <row r="8" spans="1:15" ht="15" customHeight="1" thickBot="1" thickTop="1">
      <c r="A8" s="422" t="s">
        <v>6</v>
      </c>
      <c r="B8" s="424" t="s">
        <v>7</v>
      </c>
      <c r="C8" s="425"/>
      <c r="D8" s="426"/>
      <c r="E8" s="424" t="s">
        <v>11</v>
      </c>
      <c r="F8" s="426"/>
      <c r="G8" s="427" t="s">
        <v>15</v>
      </c>
      <c r="H8" s="428"/>
      <c r="I8" s="428"/>
      <c r="J8" s="428"/>
      <c r="K8" s="428"/>
      <c r="L8" s="428"/>
      <c r="M8" s="428"/>
      <c r="N8" s="313"/>
      <c r="O8" s="46"/>
    </row>
    <row r="9" spans="1:15" ht="12.75" customHeight="1" thickTop="1">
      <c r="A9" s="304"/>
      <c r="B9" s="307" t="s">
        <v>8</v>
      </c>
      <c r="C9" s="407"/>
      <c r="D9" s="409" t="s">
        <v>9</v>
      </c>
      <c r="E9" s="429" t="s">
        <v>67</v>
      </c>
      <c r="F9" s="409" t="s">
        <v>9</v>
      </c>
      <c r="G9" s="411" t="s">
        <v>27</v>
      </c>
      <c r="H9" s="412"/>
      <c r="I9" s="411" t="s">
        <v>28</v>
      </c>
      <c r="J9" s="412"/>
      <c r="K9" s="411" t="s">
        <v>13</v>
      </c>
      <c r="L9" s="412"/>
      <c r="M9" s="411" t="s">
        <v>14</v>
      </c>
      <c r="N9" s="412"/>
      <c r="O9" s="46"/>
    </row>
    <row r="10" spans="1:15" ht="12.75" customHeight="1" thickBot="1">
      <c r="A10" s="423"/>
      <c r="B10" s="440"/>
      <c r="C10" s="441"/>
      <c r="D10" s="431"/>
      <c r="E10" s="430"/>
      <c r="F10" s="431"/>
      <c r="G10" s="11" t="s">
        <v>114</v>
      </c>
      <c r="H10" s="53" t="s">
        <v>9</v>
      </c>
      <c r="I10" s="54" t="s">
        <v>12</v>
      </c>
      <c r="J10" s="53" t="s">
        <v>9</v>
      </c>
      <c r="K10" s="54" t="s">
        <v>67</v>
      </c>
      <c r="L10" s="53" t="s">
        <v>9</v>
      </c>
      <c r="M10" s="54" t="s">
        <v>30</v>
      </c>
      <c r="N10" s="53" t="s">
        <v>9</v>
      </c>
      <c r="O10" s="46"/>
    </row>
    <row r="11" spans="1:15" ht="15.75" customHeight="1" thickTop="1">
      <c r="A11" s="442" t="s">
        <v>16</v>
      </c>
      <c r="B11" s="51" t="s">
        <v>94</v>
      </c>
      <c r="C11" s="300">
        <v>4860</v>
      </c>
      <c r="D11" s="186">
        <f>(6.29+3.187+0.437+0.015)*1.075*1.2</f>
        <v>12.808409999999999</v>
      </c>
      <c r="E11" s="445">
        <f>106+6</f>
        <v>112</v>
      </c>
      <c r="F11" s="438">
        <v>52.47</v>
      </c>
      <c r="G11" s="191">
        <v>1057.14</v>
      </c>
      <c r="H11" s="192">
        <v>56.19</v>
      </c>
      <c r="I11" s="55"/>
      <c r="J11" s="56"/>
      <c r="K11" s="55"/>
      <c r="L11" s="56"/>
      <c r="M11" s="55"/>
      <c r="N11" s="56"/>
      <c r="O11" s="46"/>
    </row>
    <row r="12" spans="1:15" ht="15" customHeight="1">
      <c r="A12" s="439"/>
      <c r="B12" s="55" t="s">
        <v>95</v>
      </c>
      <c r="C12" s="79">
        <v>0</v>
      </c>
      <c r="D12" s="187">
        <f>(4.04+0.797+0.437+0.015)*1.075*1.2</f>
        <v>6.82281</v>
      </c>
      <c r="E12" s="435"/>
      <c r="F12" s="314"/>
      <c r="G12" s="436">
        <v>23920</v>
      </c>
      <c r="H12" s="314">
        <v>6.91</v>
      </c>
      <c r="I12" s="55"/>
      <c r="J12" s="56"/>
      <c r="K12" s="55"/>
      <c r="L12" s="56"/>
      <c r="M12" s="55"/>
      <c r="N12" s="56"/>
      <c r="O12" s="46"/>
    </row>
    <row r="13" spans="1:15" ht="15" customHeight="1" thickBot="1">
      <c r="A13" s="439"/>
      <c r="B13" s="55" t="s">
        <v>113</v>
      </c>
      <c r="C13" s="88">
        <v>17.25</v>
      </c>
      <c r="D13" s="189">
        <f>49.291*1.075*1.2</f>
        <v>63.58538999999999</v>
      </c>
      <c r="E13" s="435"/>
      <c r="F13" s="314"/>
      <c r="G13" s="437"/>
      <c r="H13" s="433"/>
      <c r="I13" s="55"/>
      <c r="J13" s="56"/>
      <c r="K13" s="55"/>
      <c r="L13" s="56"/>
      <c r="M13" s="55"/>
      <c r="N13" s="56"/>
      <c r="O13" s="46"/>
    </row>
    <row r="14" spans="1:15" ht="15.75" customHeight="1" thickTop="1">
      <c r="A14" s="439" t="s">
        <v>17</v>
      </c>
      <c r="B14" s="51" t="s">
        <v>94</v>
      </c>
      <c r="C14" s="190">
        <v>4770</v>
      </c>
      <c r="D14" s="186">
        <f>(6.29+3.485+0.437+0.015)*1.075*1.2</f>
        <v>13.19283</v>
      </c>
      <c r="E14" s="410">
        <f>107+10</f>
        <v>117</v>
      </c>
      <c r="F14" s="327">
        <v>52.47</v>
      </c>
      <c r="G14" s="191">
        <v>1057.14</v>
      </c>
      <c r="H14" s="192">
        <v>56.19</v>
      </c>
      <c r="I14" s="55"/>
      <c r="J14" s="56"/>
      <c r="K14" s="55"/>
      <c r="L14" s="56"/>
      <c r="M14" s="55"/>
      <c r="N14" s="56"/>
      <c r="O14" s="46"/>
    </row>
    <row r="15" spans="1:15" ht="15" customHeight="1">
      <c r="A15" s="439"/>
      <c r="B15" s="55" t="s">
        <v>95</v>
      </c>
      <c r="C15" s="175">
        <v>0</v>
      </c>
      <c r="D15" s="187">
        <f>(4.04+0.871+0.437+0.015)*1.075*1.2</f>
        <v>6.918269999999999</v>
      </c>
      <c r="E15" s="345"/>
      <c r="F15" s="314"/>
      <c r="G15" s="436">
        <v>23910</v>
      </c>
      <c r="H15" s="314">
        <v>6.91</v>
      </c>
      <c r="I15" s="55"/>
      <c r="J15" s="56"/>
      <c r="K15" s="55"/>
      <c r="L15" s="56"/>
      <c r="M15" s="55"/>
      <c r="N15" s="56"/>
      <c r="O15" s="46"/>
    </row>
    <row r="16" spans="1:15" ht="15" customHeight="1" thickBot="1">
      <c r="A16" s="439"/>
      <c r="B16" s="55" t="s">
        <v>113</v>
      </c>
      <c r="C16" s="174">
        <v>17.25</v>
      </c>
      <c r="D16" s="189">
        <f>49.863*1.075*1.2</f>
        <v>64.32327</v>
      </c>
      <c r="E16" s="345"/>
      <c r="F16" s="314"/>
      <c r="G16" s="437"/>
      <c r="H16" s="433"/>
      <c r="I16" s="55"/>
      <c r="J16" s="56"/>
      <c r="K16" s="55"/>
      <c r="L16" s="56"/>
      <c r="M16" s="55"/>
      <c r="N16" s="56"/>
      <c r="O16" s="46"/>
    </row>
    <row r="17" spans="1:15" ht="13.5" thickTop="1">
      <c r="A17" s="439" t="s">
        <v>18</v>
      </c>
      <c r="B17" s="51" t="s">
        <v>94</v>
      </c>
      <c r="C17" s="190">
        <v>0</v>
      </c>
      <c r="D17" s="186">
        <f>(6.29+3.485+0.437+0.015)*1.075*1.2</f>
        <v>13.19283</v>
      </c>
      <c r="E17" s="434">
        <f>118+15</f>
        <v>133</v>
      </c>
      <c r="F17" s="327">
        <v>52.47</v>
      </c>
      <c r="G17" s="191">
        <v>1057.14</v>
      </c>
      <c r="H17" s="192">
        <v>56.19</v>
      </c>
      <c r="I17" s="55"/>
      <c r="J17" s="56"/>
      <c r="K17" s="55"/>
      <c r="L17" s="56"/>
      <c r="M17" s="55"/>
      <c r="N17" s="56"/>
      <c r="O17" s="46"/>
    </row>
    <row r="18" spans="1:15" ht="12.75">
      <c r="A18" s="439"/>
      <c r="B18" s="55" t="s">
        <v>95</v>
      </c>
      <c r="C18" s="175">
        <v>0</v>
      </c>
      <c r="D18" s="187">
        <f>(4.04+0.871+0.437+0.015)*1.075*1.2</f>
        <v>6.918269999999999</v>
      </c>
      <c r="E18" s="435"/>
      <c r="F18" s="314"/>
      <c r="G18" s="316">
        <v>27720</v>
      </c>
      <c r="H18" s="314">
        <v>6.91</v>
      </c>
      <c r="I18" s="55"/>
      <c r="J18" s="56"/>
      <c r="K18" s="55"/>
      <c r="L18" s="56"/>
      <c r="M18" s="55"/>
      <c r="N18" s="56"/>
      <c r="O18" s="46"/>
    </row>
    <row r="19" spans="1:15" ht="13.5" thickBot="1">
      <c r="A19" s="439"/>
      <c r="B19" s="55" t="s">
        <v>113</v>
      </c>
      <c r="C19" s="174">
        <v>17.25</v>
      </c>
      <c r="D19" s="189">
        <f>49.863*1.075*1.2</f>
        <v>64.32327</v>
      </c>
      <c r="E19" s="435"/>
      <c r="F19" s="314"/>
      <c r="G19" s="432"/>
      <c r="H19" s="433"/>
      <c r="I19" s="55"/>
      <c r="J19" s="56"/>
      <c r="K19" s="55"/>
      <c r="L19" s="56"/>
      <c r="M19" s="55"/>
      <c r="N19" s="56"/>
      <c r="O19" s="46"/>
    </row>
    <row r="20" spans="1:15" ht="13.5" thickTop="1">
      <c r="A20" s="439" t="s">
        <v>19</v>
      </c>
      <c r="B20" s="51" t="s">
        <v>94</v>
      </c>
      <c r="C20" s="190">
        <v>9510</v>
      </c>
      <c r="D20" s="186">
        <f>(6.29+3.485+0.437+0.015)*1.075*1.2</f>
        <v>13.19283</v>
      </c>
      <c r="E20" s="434">
        <f>151+22</f>
        <v>173</v>
      </c>
      <c r="F20" s="327">
        <v>52.47</v>
      </c>
      <c r="G20" s="191">
        <v>1057.14</v>
      </c>
      <c r="H20" s="192">
        <v>56.19</v>
      </c>
      <c r="I20" s="55"/>
      <c r="J20" s="56"/>
      <c r="K20" s="55"/>
      <c r="L20" s="56"/>
      <c r="M20" s="55"/>
      <c r="N20" s="56"/>
      <c r="O20" s="46"/>
    </row>
    <row r="21" spans="1:15" ht="12.75">
      <c r="A21" s="439"/>
      <c r="B21" s="55" t="s">
        <v>95</v>
      </c>
      <c r="C21" s="175">
        <v>0</v>
      </c>
      <c r="D21" s="187">
        <f>(4.04+0.871+0.437+0.015)*1.075*1.2</f>
        <v>6.918269999999999</v>
      </c>
      <c r="E21" s="435"/>
      <c r="F21" s="314"/>
      <c r="G21" s="316">
        <v>20650</v>
      </c>
      <c r="H21" s="314">
        <v>6.91</v>
      </c>
      <c r="I21" s="55"/>
      <c r="J21" s="56"/>
      <c r="K21" s="55"/>
      <c r="L21" s="56"/>
      <c r="M21" s="55"/>
      <c r="N21" s="56"/>
      <c r="O21" s="46"/>
    </row>
    <row r="22" spans="1:15" ht="13.5" thickBot="1">
      <c r="A22" s="439"/>
      <c r="B22" s="55" t="s">
        <v>113</v>
      </c>
      <c r="C22" s="174">
        <v>17.25</v>
      </c>
      <c r="D22" s="189">
        <f>49.863*1.075*1.2</f>
        <v>64.32327</v>
      </c>
      <c r="E22" s="435"/>
      <c r="F22" s="314"/>
      <c r="G22" s="432"/>
      <c r="H22" s="433"/>
      <c r="I22" s="55"/>
      <c r="J22" s="56"/>
      <c r="K22" s="55"/>
      <c r="L22" s="56"/>
      <c r="M22" s="55"/>
      <c r="N22" s="56"/>
      <c r="O22" s="46"/>
    </row>
    <row r="23" spans="1:15" ht="13.5" thickTop="1">
      <c r="A23" s="303" t="s">
        <v>20</v>
      </c>
      <c r="B23" s="51" t="s">
        <v>94</v>
      </c>
      <c r="C23" s="190">
        <v>6540</v>
      </c>
      <c r="D23" s="186">
        <f>(6.29+3.485+0.437+0.015)*1.075*1.2</f>
        <v>13.19283</v>
      </c>
      <c r="E23" s="434">
        <f>113+20</f>
        <v>133</v>
      </c>
      <c r="F23" s="327">
        <v>52.47</v>
      </c>
      <c r="G23" s="191">
        <v>1057.14</v>
      </c>
      <c r="H23" s="192">
        <v>56.19</v>
      </c>
      <c r="I23" s="59"/>
      <c r="J23" s="50"/>
      <c r="K23" s="59"/>
      <c r="L23" s="50"/>
      <c r="M23" s="59"/>
      <c r="N23" s="50"/>
      <c r="O23" s="46"/>
    </row>
    <row r="24" spans="1:15" ht="12.75">
      <c r="A24" s="304"/>
      <c r="B24" s="55" t="s">
        <v>95</v>
      </c>
      <c r="C24" s="175">
        <v>0</v>
      </c>
      <c r="D24" s="187">
        <f>(4.04+0.871+0.437+0.015)*1.075*1.2</f>
        <v>6.918269999999999</v>
      </c>
      <c r="E24" s="435"/>
      <c r="F24" s="314"/>
      <c r="G24" s="316">
        <v>0</v>
      </c>
      <c r="H24" s="314">
        <v>6.91</v>
      </c>
      <c r="I24" s="55"/>
      <c r="J24" s="56"/>
      <c r="K24" s="55"/>
      <c r="L24" s="56"/>
      <c r="M24" s="55"/>
      <c r="N24" s="56"/>
      <c r="O24" s="46"/>
    </row>
    <row r="25" spans="1:15" ht="13.5" thickBot="1">
      <c r="A25" s="304"/>
      <c r="B25" s="55" t="s">
        <v>113</v>
      </c>
      <c r="C25" s="89">
        <v>17.25</v>
      </c>
      <c r="D25" s="189">
        <f>49.863*1.075*1.2</f>
        <v>64.32327</v>
      </c>
      <c r="E25" s="435"/>
      <c r="F25" s="314"/>
      <c r="G25" s="432"/>
      <c r="H25" s="433"/>
      <c r="I25" s="55"/>
      <c r="J25" s="56"/>
      <c r="K25" s="55"/>
      <c r="L25" s="56"/>
      <c r="M25" s="55"/>
      <c r="N25" s="56"/>
      <c r="O25" s="46"/>
    </row>
    <row r="26" spans="1:15" ht="13.5" thickTop="1">
      <c r="A26" s="303" t="s">
        <v>68</v>
      </c>
      <c r="B26" s="51" t="s">
        <v>94</v>
      </c>
      <c r="C26" s="190">
        <v>5700</v>
      </c>
      <c r="D26" s="186">
        <f>(6.29+3.485+0.437+0.015)*1.075*1.2</f>
        <v>13.19283</v>
      </c>
      <c r="E26" s="434">
        <f>146+27</f>
        <v>173</v>
      </c>
      <c r="F26" s="327">
        <v>52.47</v>
      </c>
      <c r="G26" s="191">
        <v>1057.14</v>
      </c>
      <c r="H26" s="192">
        <v>56.19</v>
      </c>
      <c r="I26" s="59"/>
      <c r="J26" s="50"/>
      <c r="K26" s="59"/>
      <c r="L26" s="50"/>
      <c r="M26" s="59"/>
      <c r="N26" s="50"/>
      <c r="O26" s="46"/>
    </row>
    <row r="27" spans="1:15" ht="12.75">
      <c r="A27" s="304"/>
      <c r="B27" s="55" t="s">
        <v>95</v>
      </c>
      <c r="C27" s="174">
        <v>0</v>
      </c>
      <c r="D27" s="187">
        <f>(4.04+0.871+0.437+0.015)*1.075*1.2</f>
        <v>6.918269999999999</v>
      </c>
      <c r="E27" s="435"/>
      <c r="F27" s="314"/>
      <c r="G27" s="316">
        <v>0</v>
      </c>
      <c r="H27" s="314">
        <v>6.91</v>
      </c>
      <c r="I27" s="55"/>
      <c r="J27" s="56"/>
      <c r="K27" s="55"/>
      <c r="L27" s="56"/>
      <c r="M27" s="55"/>
      <c r="N27" s="56"/>
      <c r="O27" s="46"/>
    </row>
    <row r="28" spans="1:15" ht="13.5" thickBot="1">
      <c r="A28" s="304"/>
      <c r="B28" s="55" t="s">
        <v>113</v>
      </c>
      <c r="C28" s="174">
        <v>17.25</v>
      </c>
      <c r="D28" s="189">
        <f>49.863*1.075*1.2</f>
        <v>64.32327</v>
      </c>
      <c r="E28" s="435"/>
      <c r="F28" s="314"/>
      <c r="G28" s="432"/>
      <c r="H28" s="433"/>
      <c r="I28" s="55"/>
      <c r="J28" s="56"/>
      <c r="K28" s="55"/>
      <c r="L28" s="56"/>
      <c r="M28" s="55"/>
      <c r="N28" s="56"/>
      <c r="O28" s="46"/>
    </row>
    <row r="29" spans="1:15" ht="13.5" thickTop="1">
      <c r="A29" s="303" t="s">
        <v>69</v>
      </c>
      <c r="B29" s="51" t="s">
        <v>94</v>
      </c>
      <c r="C29" s="190">
        <v>4530</v>
      </c>
      <c r="D29" s="186">
        <f>(6.29+3.485+0.437+0.015)*1.075*1.2</f>
        <v>13.19283</v>
      </c>
      <c r="E29" s="434">
        <f>95+10</f>
        <v>105</v>
      </c>
      <c r="F29" s="327">
        <v>52.47</v>
      </c>
      <c r="G29" s="191">
        <v>1057.14</v>
      </c>
      <c r="H29" s="192">
        <v>56.19</v>
      </c>
      <c r="I29" s="59"/>
      <c r="J29" s="50"/>
      <c r="K29" s="59"/>
      <c r="L29" s="50"/>
      <c r="M29" s="59"/>
      <c r="N29" s="50"/>
      <c r="O29" s="46"/>
    </row>
    <row r="30" spans="1:15" ht="12.75">
      <c r="A30" s="304"/>
      <c r="B30" s="55" t="s">
        <v>95</v>
      </c>
      <c r="C30" s="174">
        <v>0</v>
      </c>
      <c r="D30" s="187">
        <f>(4.04+0.871+0.437+0.015)*1.075*1.2</f>
        <v>6.918269999999999</v>
      </c>
      <c r="E30" s="435"/>
      <c r="F30" s="314"/>
      <c r="G30" s="316">
        <v>0</v>
      </c>
      <c r="H30" s="314">
        <v>6.91</v>
      </c>
      <c r="I30" s="55"/>
      <c r="J30" s="56"/>
      <c r="K30" s="55"/>
      <c r="L30" s="56"/>
      <c r="M30" s="55"/>
      <c r="N30" s="56"/>
      <c r="O30" s="46"/>
    </row>
    <row r="31" spans="1:15" ht="13.5" thickBot="1">
      <c r="A31" s="304"/>
      <c r="B31" s="55" t="s">
        <v>113</v>
      </c>
      <c r="C31" s="174">
        <v>17.25</v>
      </c>
      <c r="D31" s="189">
        <f>49.863*1.075*1.2</f>
        <v>64.32327</v>
      </c>
      <c r="E31" s="435"/>
      <c r="F31" s="314"/>
      <c r="G31" s="432"/>
      <c r="H31" s="433"/>
      <c r="I31" s="55"/>
      <c r="J31" s="56"/>
      <c r="K31" s="55"/>
      <c r="L31" s="56"/>
      <c r="M31" s="55"/>
      <c r="N31" s="56"/>
      <c r="O31" s="46"/>
    </row>
    <row r="32" spans="1:15" ht="13.5" thickTop="1">
      <c r="A32" s="303" t="s">
        <v>22</v>
      </c>
      <c r="B32" s="51" t="s">
        <v>94</v>
      </c>
      <c r="C32" s="190">
        <v>4410</v>
      </c>
      <c r="D32" s="186">
        <f>(6.29+3.485+0.437+0.015)*1.075*1.2</f>
        <v>13.19283</v>
      </c>
      <c r="E32" s="434">
        <f>102+10</f>
        <v>112</v>
      </c>
      <c r="F32" s="327">
        <v>52.47</v>
      </c>
      <c r="G32" s="191">
        <v>1057.14</v>
      </c>
      <c r="H32" s="192">
        <v>56.19</v>
      </c>
      <c r="I32" s="59"/>
      <c r="J32" s="50"/>
      <c r="K32" s="59"/>
      <c r="L32" s="50"/>
      <c r="M32" s="59"/>
      <c r="N32" s="50"/>
      <c r="O32" s="46"/>
    </row>
    <row r="33" spans="1:15" ht="12.75">
      <c r="A33" s="304"/>
      <c r="B33" s="55" t="s">
        <v>95</v>
      </c>
      <c r="C33" s="174">
        <v>0</v>
      </c>
      <c r="D33" s="187">
        <f>(4.04+0.871+0.437+0.015)*1.075*1.2</f>
        <v>6.918269999999999</v>
      </c>
      <c r="E33" s="435"/>
      <c r="F33" s="314"/>
      <c r="G33" s="316">
        <v>0</v>
      </c>
      <c r="H33" s="314">
        <v>6.91</v>
      </c>
      <c r="I33" s="55"/>
      <c r="J33" s="56"/>
      <c r="K33" s="55"/>
      <c r="L33" s="56"/>
      <c r="M33" s="55"/>
      <c r="N33" s="56"/>
      <c r="O33" s="46"/>
    </row>
    <row r="34" spans="1:15" ht="13.5" thickBot="1">
      <c r="A34" s="304"/>
      <c r="B34" s="55" t="s">
        <v>113</v>
      </c>
      <c r="C34" s="174">
        <v>17.25</v>
      </c>
      <c r="D34" s="189">
        <f>49.863*1.075*1.2</f>
        <v>64.32327</v>
      </c>
      <c r="E34" s="435"/>
      <c r="F34" s="314"/>
      <c r="G34" s="432"/>
      <c r="H34" s="433"/>
      <c r="I34" s="55"/>
      <c r="J34" s="56"/>
      <c r="K34" s="55"/>
      <c r="L34" s="56"/>
      <c r="M34" s="55"/>
      <c r="N34" s="56"/>
      <c r="O34" s="46"/>
    </row>
    <row r="35" spans="1:15" ht="13.5" thickTop="1">
      <c r="A35" s="303" t="s">
        <v>23</v>
      </c>
      <c r="B35" s="51" t="s">
        <v>94</v>
      </c>
      <c r="C35" s="190">
        <v>5610</v>
      </c>
      <c r="D35" s="186">
        <f>(9.7+3.485+0.437+0.015)*1.075*1.2</f>
        <v>17.59173</v>
      </c>
      <c r="E35" s="305">
        <f>102+15</f>
        <v>117</v>
      </c>
      <c r="F35" s="313">
        <v>58.17</v>
      </c>
      <c r="G35" s="191">
        <v>1057.14</v>
      </c>
      <c r="H35" s="192">
        <v>56.19</v>
      </c>
      <c r="I35" s="59"/>
      <c r="J35" s="50"/>
      <c r="K35" s="59"/>
      <c r="L35" s="50"/>
      <c r="M35" s="59"/>
      <c r="N35" s="50"/>
      <c r="O35" s="46"/>
    </row>
    <row r="36" spans="1:15" ht="12.75">
      <c r="A36" s="304"/>
      <c r="B36" s="55" t="s">
        <v>95</v>
      </c>
      <c r="C36" s="174">
        <v>0</v>
      </c>
      <c r="D36" s="187">
        <f>(6.15+0.871+0.437+0.015)*1.075*1.2</f>
        <v>9.640170000000001</v>
      </c>
      <c r="E36" s="306"/>
      <c r="F36" s="302"/>
      <c r="G36" s="316">
        <v>0</v>
      </c>
      <c r="H36" s="314">
        <v>6.91</v>
      </c>
      <c r="I36" s="55"/>
      <c r="J36" s="56"/>
      <c r="K36" s="55"/>
      <c r="L36" s="56"/>
      <c r="M36" s="55"/>
      <c r="N36" s="56"/>
      <c r="O36" s="46"/>
    </row>
    <row r="37" spans="1:15" ht="13.5" thickBot="1">
      <c r="A37" s="304"/>
      <c r="B37" s="55" t="s">
        <v>113</v>
      </c>
      <c r="C37" s="174">
        <v>17.25</v>
      </c>
      <c r="D37" s="189">
        <f>49.863*1.075*1.2</f>
        <v>64.32327</v>
      </c>
      <c r="E37" s="306"/>
      <c r="F37" s="302"/>
      <c r="G37" s="432"/>
      <c r="H37" s="433"/>
      <c r="I37" s="55"/>
      <c r="J37" s="56"/>
      <c r="K37" s="55"/>
      <c r="L37" s="56"/>
      <c r="M37" s="55"/>
      <c r="N37" s="56"/>
      <c r="O37" s="46"/>
    </row>
    <row r="38" spans="1:15" ht="13.5" thickTop="1">
      <c r="A38" s="303" t="s">
        <v>24</v>
      </c>
      <c r="B38" s="51" t="s">
        <v>94</v>
      </c>
      <c r="C38" s="173">
        <v>0</v>
      </c>
      <c r="D38" s="186">
        <f>(9.7+3.879+0.437+0.015)*1.075*1.2</f>
        <v>18.09999</v>
      </c>
      <c r="E38" s="305">
        <f>106+19</f>
        <v>125</v>
      </c>
      <c r="F38" s="313">
        <v>58.17</v>
      </c>
      <c r="G38" s="191">
        <v>1057.14</v>
      </c>
      <c r="H38" s="192">
        <v>56.19</v>
      </c>
      <c r="I38" s="59"/>
      <c r="J38" s="63"/>
      <c r="K38" s="63"/>
      <c r="L38" s="63"/>
      <c r="M38" s="63"/>
      <c r="N38" s="50"/>
      <c r="O38" s="46"/>
    </row>
    <row r="39" spans="1:15" ht="12.75">
      <c r="A39" s="304"/>
      <c r="B39" s="55" t="s">
        <v>95</v>
      </c>
      <c r="C39" s="89">
        <v>0</v>
      </c>
      <c r="D39" s="187">
        <f>(6.15+0.97+0.437+0.015)*1.075*1.2</f>
        <v>9.767879999999998</v>
      </c>
      <c r="E39" s="306"/>
      <c r="F39" s="302"/>
      <c r="G39" s="316">
        <v>15250</v>
      </c>
      <c r="H39" s="314">
        <v>6.91</v>
      </c>
      <c r="I39" s="55"/>
      <c r="J39" s="64"/>
      <c r="K39" s="64"/>
      <c r="L39" s="64"/>
      <c r="M39" s="64"/>
      <c r="N39" s="56"/>
      <c r="O39" s="46"/>
    </row>
    <row r="40" spans="1:15" ht="13.5" thickBot="1">
      <c r="A40" s="304"/>
      <c r="B40" s="55" t="s">
        <v>113</v>
      </c>
      <c r="C40" s="89">
        <v>17.25</v>
      </c>
      <c r="D40" s="189">
        <f>54.258*1.075*1.2</f>
        <v>69.99282</v>
      </c>
      <c r="E40" s="306"/>
      <c r="F40" s="302"/>
      <c r="G40" s="432"/>
      <c r="H40" s="433"/>
      <c r="I40" s="55"/>
      <c r="J40" s="64"/>
      <c r="K40" s="64"/>
      <c r="L40" s="64"/>
      <c r="M40" s="64"/>
      <c r="N40" s="56"/>
      <c r="O40" s="46"/>
    </row>
    <row r="41" spans="1:15" ht="12.75">
      <c r="A41" s="303" t="s">
        <v>25</v>
      </c>
      <c r="B41" s="59" t="s">
        <v>94</v>
      </c>
      <c r="C41" s="173">
        <v>10410</v>
      </c>
      <c r="D41" s="186">
        <f>(9.7+3.879+0.437+0.015)*1.075*1.2</f>
        <v>18.09999</v>
      </c>
      <c r="E41" s="305">
        <f>109+12</f>
        <v>121</v>
      </c>
      <c r="F41" s="313">
        <v>58.17</v>
      </c>
      <c r="G41" s="191">
        <v>1057.14</v>
      </c>
      <c r="H41" s="192">
        <v>56.19</v>
      </c>
      <c r="I41" s="59"/>
      <c r="J41" s="50"/>
      <c r="K41" s="59"/>
      <c r="L41" s="50"/>
      <c r="M41" s="59"/>
      <c r="N41" s="50"/>
      <c r="O41" s="46"/>
    </row>
    <row r="42" spans="1:15" ht="12.75">
      <c r="A42" s="304"/>
      <c r="B42" s="55" t="s">
        <v>95</v>
      </c>
      <c r="C42" s="172">
        <v>0</v>
      </c>
      <c r="D42" s="187">
        <f>(6.15+0.97+0.437+0.015)*1.075*1.2</f>
        <v>9.767879999999998</v>
      </c>
      <c r="E42" s="306"/>
      <c r="F42" s="302"/>
      <c r="G42" s="316">
        <v>21060</v>
      </c>
      <c r="H42" s="314">
        <v>6.91</v>
      </c>
      <c r="I42" s="55"/>
      <c r="J42" s="56"/>
      <c r="K42" s="55"/>
      <c r="L42" s="56"/>
      <c r="M42" s="55"/>
      <c r="N42" s="56"/>
      <c r="O42" s="46"/>
    </row>
    <row r="43" spans="1:15" ht="12" customHeight="1" thickBot="1">
      <c r="A43" s="304"/>
      <c r="B43" s="55" t="s">
        <v>94</v>
      </c>
      <c r="C43" s="89">
        <v>17.25</v>
      </c>
      <c r="D43" s="189">
        <f>54.258*1.075*1.2</f>
        <v>69.99282</v>
      </c>
      <c r="E43" s="306"/>
      <c r="F43" s="302"/>
      <c r="G43" s="432"/>
      <c r="H43" s="433"/>
      <c r="I43" s="55"/>
      <c r="J43" s="56"/>
      <c r="K43" s="55"/>
      <c r="L43" s="56"/>
      <c r="M43" s="55"/>
      <c r="N43" s="56"/>
      <c r="O43" s="46"/>
    </row>
    <row r="44" spans="1:15" ht="12.75">
      <c r="A44" s="446" t="s">
        <v>26</v>
      </c>
      <c r="B44" s="70" t="s">
        <v>94</v>
      </c>
      <c r="C44" s="271"/>
      <c r="D44" s="178"/>
      <c r="E44" s="449"/>
      <c r="F44" s="452"/>
      <c r="G44" s="315"/>
      <c r="H44" s="327"/>
      <c r="I44" s="139"/>
      <c r="J44" s="157"/>
      <c r="K44" s="155"/>
      <c r="L44" s="157"/>
      <c r="M44" s="155"/>
      <c r="N44" s="147"/>
      <c r="O44" s="46"/>
    </row>
    <row r="45" spans="1:15" ht="12.75">
      <c r="A45" s="447"/>
      <c r="B45" s="71" t="s">
        <v>95</v>
      </c>
      <c r="C45" s="71"/>
      <c r="D45" s="179"/>
      <c r="E45" s="450"/>
      <c r="F45" s="302"/>
      <c r="G45" s="316"/>
      <c r="H45" s="314"/>
      <c r="I45" s="129"/>
      <c r="J45" s="56"/>
      <c r="K45" s="55"/>
      <c r="L45" s="56"/>
      <c r="M45" s="55"/>
      <c r="N45" s="148"/>
      <c r="O45" s="46"/>
    </row>
    <row r="46" spans="1:15" ht="13.5" thickBot="1">
      <c r="A46" s="448"/>
      <c r="B46" s="151" t="s">
        <v>94</v>
      </c>
      <c r="C46" s="151"/>
      <c r="D46" s="179"/>
      <c r="E46" s="451"/>
      <c r="F46" s="453"/>
      <c r="G46" s="194"/>
      <c r="H46" s="195"/>
      <c r="I46" s="141"/>
      <c r="J46" s="158"/>
      <c r="K46" s="156"/>
      <c r="L46" s="158"/>
      <c r="M46" s="156"/>
      <c r="N46" s="150"/>
      <c r="O46" s="46"/>
    </row>
    <row r="47" spans="1:15" ht="12.75">
      <c r="A47" s="49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6"/>
    </row>
    <row r="48" spans="1:15" s="27" customFormat="1" ht="12.75">
      <c r="A48" s="443" t="s">
        <v>32</v>
      </c>
      <c r="B48" s="443"/>
      <c r="C48" s="443"/>
      <c r="D48" s="444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6"/>
    </row>
    <row r="49" spans="1:14" s="27" customFormat="1" ht="12.75">
      <c r="A49" s="23"/>
      <c r="B49" s="22" t="s">
        <v>33</v>
      </c>
      <c r="C49" s="22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</row>
    <row r="50" spans="1:14" s="27" customFormat="1" ht="12.75">
      <c r="A50" s="23"/>
      <c r="B50" s="403" t="s">
        <v>35</v>
      </c>
      <c r="C50" s="403"/>
      <c r="D50" s="403"/>
      <c r="E50" s="404"/>
      <c r="F50" s="23"/>
      <c r="G50" s="23"/>
      <c r="H50" s="23"/>
      <c r="I50" s="23"/>
      <c r="J50" s="23"/>
      <c r="K50" s="23"/>
      <c r="L50" s="23"/>
      <c r="M50" s="23"/>
      <c r="N50" s="23"/>
    </row>
    <row r="51" spans="1:14" s="27" customFormat="1" ht="12.75">
      <c r="A51" s="23"/>
      <c r="B51" s="403" t="s">
        <v>34</v>
      </c>
      <c r="C51" s="403"/>
      <c r="D51" s="403"/>
      <c r="E51" s="23"/>
      <c r="F51" s="23"/>
      <c r="G51" s="23"/>
      <c r="H51" s="23"/>
      <c r="I51" s="23"/>
      <c r="J51" s="23"/>
      <c r="K51" s="23"/>
      <c r="L51" s="23"/>
      <c r="M51" s="23"/>
      <c r="N51" s="23"/>
    </row>
    <row r="52" spans="1:14" s="27" customFormat="1" ht="12.75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</row>
    <row r="53" spans="1:7" ht="14.25">
      <c r="A53" s="20"/>
      <c r="B53" s="20"/>
      <c r="C53" s="20"/>
      <c r="D53" s="20"/>
      <c r="E53" s="20"/>
      <c r="F53" s="20"/>
      <c r="G53" s="20"/>
    </row>
    <row r="54" spans="1:7" ht="14.25">
      <c r="A54" s="20"/>
      <c r="B54" s="20"/>
      <c r="C54" s="20"/>
      <c r="D54" s="20"/>
      <c r="E54" s="20"/>
      <c r="F54" s="20"/>
      <c r="G54" s="20"/>
    </row>
  </sheetData>
  <sheetProtection/>
  <mergeCells count="79">
    <mergeCell ref="F44:F46"/>
    <mergeCell ref="A23:A25"/>
    <mergeCell ref="E23:E25"/>
    <mergeCell ref="F23:F25"/>
    <mergeCell ref="A29:A31"/>
    <mergeCell ref="E29:E31"/>
    <mergeCell ref="F29:F31"/>
    <mergeCell ref="A26:A28"/>
    <mergeCell ref="E26:E28"/>
    <mergeCell ref="F26:F28"/>
    <mergeCell ref="B51:D51"/>
    <mergeCell ref="A41:A43"/>
    <mergeCell ref="E41:E43"/>
    <mergeCell ref="A44:A46"/>
    <mergeCell ref="E44:E46"/>
    <mergeCell ref="A11:A13"/>
    <mergeCell ref="A48:D48"/>
    <mergeCell ref="B50:E50"/>
    <mergeCell ref="A14:A16"/>
    <mergeCell ref="E11:E13"/>
    <mergeCell ref="A35:A37"/>
    <mergeCell ref="E35:E37"/>
    <mergeCell ref="A38:A40"/>
    <mergeCell ref="A20:A22"/>
    <mergeCell ref="E17:E19"/>
    <mergeCell ref="B9:C10"/>
    <mergeCell ref="G9:H9"/>
    <mergeCell ref="G12:G13"/>
    <mergeCell ref="H12:H13"/>
    <mergeCell ref="D9:D10"/>
    <mergeCell ref="E9:E10"/>
    <mergeCell ref="F9:F10"/>
    <mergeCell ref="A17:A19"/>
    <mergeCell ref="M9:N9"/>
    <mergeCell ref="I1:K1"/>
    <mergeCell ref="I2:K2"/>
    <mergeCell ref="I3:K3"/>
    <mergeCell ref="I9:J9"/>
    <mergeCell ref="K9:L9"/>
    <mergeCell ref="A6:N7"/>
    <mergeCell ref="A8:A10"/>
    <mergeCell ref="B8:D8"/>
    <mergeCell ref="A32:A34"/>
    <mergeCell ref="F41:F43"/>
    <mergeCell ref="F38:F40"/>
    <mergeCell ref="E32:E34"/>
    <mergeCell ref="F32:F34"/>
    <mergeCell ref="F35:F37"/>
    <mergeCell ref="E38:E40"/>
    <mergeCell ref="G36:G37"/>
    <mergeCell ref="H36:H37"/>
    <mergeCell ref="H24:H25"/>
    <mergeCell ref="G27:G28"/>
    <mergeCell ref="G30:G31"/>
    <mergeCell ref="G24:G25"/>
    <mergeCell ref="G33:G34"/>
    <mergeCell ref="H33:H34"/>
    <mergeCell ref="H27:H28"/>
    <mergeCell ref="H30:H31"/>
    <mergeCell ref="G8:N8"/>
    <mergeCell ref="F11:F13"/>
    <mergeCell ref="E8:F8"/>
    <mergeCell ref="H15:H16"/>
    <mergeCell ref="E20:E22"/>
    <mergeCell ref="F20:F22"/>
    <mergeCell ref="E14:E16"/>
    <mergeCell ref="G21:G22"/>
    <mergeCell ref="G18:G19"/>
    <mergeCell ref="G15:G16"/>
    <mergeCell ref="H18:H19"/>
    <mergeCell ref="H21:H22"/>
    <mergeCell ref="F14:F16"/>
    <mergeCell ref="F17:F19"/>
    <mergeCell ref="G44:G45"/>
    <mergeCell ref="H44:H45"/>
    <mergeCell ref="G39:G40"/>
    <mergeCell ref="H39:H40"/>
    <mergeCell ref="G42:G43"/>
    <mergeCell ref="H42:H43"/>
  </mergeCells>
  <printOptions/>
  <pageMargins left="0.29" right="0.2" top="0.35" bottom="0.59" header="0.26" footer="0.25"/>
  <pageSetup horizontalDpi="600" verticalDpi="600" orientation="landscape" paperSize="9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52"/>
  <sheetViews>
    <sheetView zoomScalePageLayoutView="0" workbookViewId="0" topLeftCell="A22">
      <selection activeCell="E44" sqref="E44:E46"/>
    </sheetView>
  </sheetViews>
  <sheetFormatPr defaultColWidth="9.140625" defaultRowHeight="12.75"/>
  <cols>
    <col min="1" max="1" width="18.140625" style="0" customWidth="1"/>
    <col min="2" max="2" width="7.28125" style="0" customWidth="1"/>
    <col min="3" max="3" width="9.7109375" style="0" customWidth="1"/>
    <col min="4" max="4" width="6.7109375" style="0" customWidth="1"/>
    <col min="5" max="5" width="12.7109375" style="0" customWidth="1"/>
    <col min="6" max="6" width="7.00390625" style="0" customWidth="1"/>
    <col min="7" max="7" width="17.421875" style="0" customWidth="1"/>
    <col min="8" max="8" width="8.00390625" style="0" customWidth="1"/>
    <col min="9" max="9" width="11.57421875" style="0" customWidth="1"/>
    <col min="10" max="10" width="6.00390625" style="0" customWidth="1"/>
    <col min="11" max="11" width="12.00390625" style="0" customWidth="1"/>
    <col min="12" max="12" width="5.57421875" style="0" customWidth="1"/>
    <col min="13" max="13" width="13.421875" style="0" customWidth="1"/>
    <col min="14" max="14" width="10.421875" style="0" customWidth="1"/>
  </cols>
  <sheetData>
    <row r="1" spans="1:13" s="25" customFormat="1" ht="15">
      <c r="A1" s="19" t="s">
        <v>41</v>
      </c>
      <c r="B1" s="17" t="s">
        <v>104</v>
      </c>
      <c r="C1" s="17"/>
      <c r="E1" s="18"/>
      <c r="F1" s="18">
        <v>50476</v>
      </c>
      <c r="G1" s="18"/>
      <c r="H1" s="17" t="s">
        <v>29</v>
      </c>
      <c r="I1" s="17"/>
      <c r="J1" s="17"/>
      <c r="K1" s="18">
        <v>967</v>
      </c>
      <c r="L1" s="18"/>
      <c r="M1" s="18"/>
    </row>
    <row r="2" spans="1:13" s="25" customFormat="1" ht="15">
      <c r="A2" s="17" t="s">
        <v>1</v>
      </c>
      <c r="B2" s="17" t="s">
        <v>92</v>
      </c>
      <c r="C2" s="17"/>
      <c r="E2" s="18"/>
      <c r="F2" s="18">
        <v>50475</v>
      </c>
      <c r="G2" s="18"/>
      <c r="H2" s="17" t="s">
        <v>2</v>
      </c>
      <c r="I2" s="17"/>
      <c r="J2" s="17"/>
      <c r="K2" s="18">
        <v>7</v>
      </c>
      <c r="L2" s="18"/>
      <c r="M2" s="18"/>
    </row>
    <row r="3" spans="1:13" s="25" customFormat="1" ht="15">
      <c r="A3" s="17" t="s">
        <v>0</v>
      </c>
      <c r="B3" s="17" t="s">
        <v>38</v>
      </c>
      <c r="C3" s="17"/>
      <c r="E3" s="18"/>
      <c r="F3" s="18"/>
      <c r="G3" s="18"/>
      <c r="H3" s="17" t="s">
        <v>3</v>
      </c>
      <c r="I3" s="17"/>
      <c r="J3" s="17"/>
      <c r="K3" s="18">
        <v>2</v>
      </c>
      <c r="L3" s="18"/>
      <c r="M3" s="18"/>
    </row>
    <row r="4" spans="1:14" s="25" customFormat="1" ht="15">
      <c r="A4" s="17" t="s">
        <v>4</v>
      </c>
      <c r="B4" s="17">
        <v>162</v>
      </c>
      <c r="C4" s="17"/>
      <c r="D4" s="18"/>
      <c r="E4" s="18"/>
      <c r="F4" s="18"/>
      <c r="G4" s="18"/>
      <c r="H4" s="17" t="s">
        <v>31</v>
      </c>
      <c r="I4" s="17"/>
      <c r="J4" s="17"/>
      <c r="K4" s="33" t="s">
        <v>62</v>
      </c>
      <c r="L4" s="21"/>
      <c r="M4" s="21"/>
      <c r="N4" s="21"/>
    </row>
    <row r="5" spans="1:13" ht="15" thickBot="1">
      <c r="A5" s="16"/>
      <c r="B5" s="16"/>
      <c r="C5" s="16"/>
      <c r="D5" s="16"/>
      <c r="E5" s="16"/>
      <c r="F5" s="16"/>
      <c r="G5" s="16"/>
      <c r="H5" s="16"/>
      <c r="I5" s="16"/>
      <c r="J5" s="35"/>
      <c r="K5" s="35" t="s">
        <v>65</v>
      </c>
      <c r="L5" s="35"/>
      <c r="M5" s="16"/>
    </row>
    <row r="6" spans="1:14" ht="13.5" thickTop="1">
      <c r="A6" s="376" t="s">
        <v>5</v>
      </c>
      <c r="B6" s="377"/>
      <c r="C6" s="377"/>
      <c r="D6" s="377"/>
      <c r="E6" s="377"/>
      <c r="F6" s="377"/>
      <c r="G6" s="377"/>
      <c r="H6" s="377"/>
      <c r="I6" s="377"/>
      <c r="J6" s="377"/>
      <c r="K6" s="377"/>
      <c r="L6" s="377"/>
      <c r="M6" s="377"/>
      <c r="N6" s="378"/>
    </row>
    <row r="7" spans="1:14" ht="13.5" thickBot="1">
      <c r="A7" s="379"/>
      <c r="B7" s="380"/>
      <c r="C7" s="380"/>
      <c r="D7" s="380"/>
      <c r="E7" s="380"/>
      <c r="F7" s="380"/>
      <c r="G7" s="380"/>
      <c r="H7" s="380"/>
      <c r="I7" s="380"/>
      <c r="J7" s="380"/>
      <c r="K7" s="380"/>
      <c r="L7" s="380"/>
      <c r="M7" s="380"/>
      <c r="N7" s="381"/>
    </row>
    <row r="8" spans="1:14" ht="16.5" thickBot="1" thickTop="1">
      <c r="A8" s="369" t="s">
        <v>6</v>
      </c>
      <c r="B8" s="357" t="s">
        <v>7</v>
      </c>
      <c r="C8" s="361"/>
      <c r="D8" s="358"/>
      <c r="E8" s="357" t="s">
        <v>11</v>
      </c>
      <c r="F8" s="358"/>
      <c r="G8" s="382" t="s">
        <v>15</v>
      </c>
      <c r="H8" s="383"/>
      <c r="I8" s="383"/>
      <c r="J8" s="383"/>
      <c r="K8" s="383"/>
      <c r="L8" s="383"/>
      <c r="M8" s="383"/>
      <c r="N8" s="384"/>
    </row>
    <row r="9" spans="1:14" ht="13.5" thickTop="1">
      <c r="A9" s="370"/>
      <c r="B9" s="399" t="s">
        <v>8</v>
      </c>
      <c r="C9" s="372"/>
      <c r="D9" s="373" t="s">
        <v>9</v>
      </c>
      <c r="E9" s="466" t="s">
        <v>10</v>
      </c>
      <c r="F9" s="373" t="s">
        <v>9</v>
      </c>
      <c r="G9" s="365" t="s">
        <v>27</v>
      </c>
      <c r="H9" s="366"/>
      <c r="I9" s="375" t="s">
        <v>28</v>
      </c>
      <c r="J9" s="356"/>
      <c r="K9" s="375" t="s">
        <v>13</v>
      </c>
      <c r="L9" s="356"/>
      <c r="M9" s="375" t="s">
        <v>14</v>
      </c>
      <c r="N9" s="356"/>
    </row>
    <row r="10" spans="1:14" ht="15" thickBot="1">
      <c r="A10" s="371"/>
      <c r="B10" s="469"/>
      <c r="C10" s="394"/>
      <c r="D10" s="374"/>
      <c r="E10" s="467"/>
      <c r="F10" s="374"/>
      <c r="G10" s="11" t="s">
        <v>114</v>
      </c>
      <c r="H10" s="3" t="s">
        <v>9</v>
      </c>
      <c r="I10" s="9" t="s">
        <v>12</v>
      </c>
      <c r="J10" s="10" t="s">
        <v>9</v>
      </c>
      <c r="K10" s="9" t="s">
        <v>10</v>
      </c>
      <c r="L10" s="10" t="s">
        <v>9</v>
      </c>
      <c r="M10" s="9" t="s">
        <v>30</v>
      </c>
      <c r="N10" s="10" t="s">
        <v>9</v>
      </c>
    </row>
    <row r="11" spans="1:14" ht="15.75" customHeight="1" thickTop="1">
      <c r="A11" s="470" t="s">
        <v>16</v>
      </c>
      <c r="B11" s="81" t="s">
        <v>94</v>
      </c>
      <c r="C11" s="185">
        <v>540</v>
      </c>
      <c r="D11" s="186">
        <f>(6.29+3.187+0.437+0.015)*1.075*1.2</f>
        <v>12.808409999999999</v>
      </c>
      <c r="E11" s="375">
        <f>239+6</f>
        <v>245</v>
      </c>
      <c r="F11" s="356">
        <v>52.47</v>
      </c>
      <c r="G11" s="15">
        <v>801.96</v>
      </c>
      <c r="H11" s="193">
        <v>56.19</v>
      </c>
      <c r="I11" s="97"/>
      <c r="J11" s="99"/>
      <c r="K11" s="97"/>
      <c r="L11" s="99"/>
      <c r="M11" s="97"/>
      <c r="N11" s="99"/>
    </row>
    <row r="12" spans="1:14" ht="15.75" customHeight="1">
      <c r="A12" s="471"/>
      <c r="B12" s="84" t="s">
        <v>101</v>
      </c>
      <c r="C12" s="89">
        <v>0</v>
      </c>
      <c r="D12" s="187">
        <f>(4.04+0.797+0.437+0.015)*1.075*1.2</f>
        <v>6.82281</v>
      </c>
      <c r="E12" s="468"/>
      <c r="F12" s="364"/>
      <c r="G12" s="482">
        <v>17600</v>
      </c>
      <c r="H12" s="476">
        <v>6.91</v>
      </c>
      <c r="I12" s="74"/>
      <c r="J12" s="103"/>
      <c r="K12" s="74"/>
      <c r="L12" s="103"/>
      <c r="M12" s="74"/>
      <c r="N12" s="103"/>
    </row>
    <row r="13" spans="1:14" ht="15.75" customHeight="1" thickBot="1">
      <c r="A13" s="471"/>
      <c r="B13" s="84" t="s">
        <v>113</v>
      </c>
      <c r="C13" s="149">
        <v>17.25</v>
      </c>
      <c r="D13" s="189">
        <f>49.291*1.075*1.2</f>
        <v>63.58538999999999</v>
      </c>
      <c r="E13" s="468"/>
      <c r="F13" s="364"/>
      <c r="G13" s="483"/>
      <c r="H13" s="477"/>
      <c r="I13" s="143"/>
      <c r="J13" s="105"/>
      <c r="K13" s="143"/>
      <c r="L13" s="105"/>
      <c r="M13" s="143"/>
      <c r="N13" s="105"/>
    </row>
    <row r="14" spans="1:14" ht="15" customHeight="1" thickTop="1">
      <c r="A14" s="457" t="s">
        <v>17</v>
      </c>
      <c r="B14" s="81" t="s">
        <v>94</v>
      </c>
      <c r="C14" s="168">
        <v>5760</v>
      </c>
      <c r="D14" s="186">
        <f>(6.29+3.485+0.437+0.015)*1.075*1.2</f>
        <v>13.19283</v>
      </c>
      <c r="E14" s="410">
        <v>253</v>
      </c>
      <c r="F14" s="456">
        <v>52.47</v>
      </c>
      <c r="G14" s="15">
        <v>801.96</v>
      </c>
      <c r="H14" s="193">
        <v>56.19</v>
      </c>
      <c r="I14" s="6"/>
      <c r="J14" s="131"/>
      <c r="K14" s="97"/>
      <c r="L14" s="99"/>
      <c r="M14" s="97"/>
      <c r="N14" s="99"/>
    </row>
    <row r="15" spans="1:14" ht="15" customHeight="1">
      <c r="A15" s="457"/>
      <c r="B15" s="84" t="s">
        <v>101</v>
      </c>
      <c r="C15" s="93">
        <v>0</v>
      </c>
      <c r="D15" s="187">
        <f>(4.04+0.871+0.437+0.015)*1.075*1.2</f>
        <v>6.918269999999999</v>
      </c>
      <c r="E15" s="345"/>
      <c r="F15" s="456"/>
      <c r="G15" s="482">
        <v>18191</v>
      </c>
      <c r="H15" s="476">
        <v>6.91</v>
      </c>
      <c r="I15" s="6"/>
      <c r="J15" s="131"/>
      <c r="K15" s="74"/>
      <c r="L15" s="103"/>
      <c r="M15" s="74"/>
      <c r="N15" s="103"/>
    </row>
    <row r="16" spans="1:14" ht="15" customHeight="1" thickBot="1">
      <c r="A16" s="457"/>
      <c r="B16" s="84" t="s">
        <v>113</v>
      </c>
      <c r="C16" s="92">
        <v>17.25</v>
      </c>
      <c r="D16" s="189">
        <f>49.863*1.075*1.2</f>
        <v>64.32327</v>
      </c>
      <c r="E16" s="345"/>
      <c r="F16" s="456"/>
      <c r="G16" s="483"/>
      <c r="H16" s="477"/>
      <c r="I16" s="6"/>
      <c r="J16" s="131"/>
      <c r="K16" s="143"/>
      <c r="L16" s="105"/>
      <c r="M16" s="143"/>
      <c r="N16" s="105"/>
    </row>
    <row r="17" spans="1:14" ht="13.5" thickTop="1">
      <c r="A17" s="457" t="s">
        <v>18</v>
      </c>
      <c r="B17" s="81" t="s">
        <v>94</v>
      </c>
      <c r="C17" s="168">
        <v>5920</v>
      </c>
      <c r="D17" s="186">
        <f>(6.29+3.485+0.437+0.015)*1.075*1.2</f>
        <v>13.19283</v>
      </c>
      <c r="E17" s="465">
        <f>287+7</f>
        <v>294</v>
      </c>
      <c r="F17" s="456">
        <v>52.47</v>
      </c>
      <c r="G17" s="15">
        <v>801.96</v>
      </c>
      <c r="H17" s="193">
        <v>56.19</v>
      </c>
      <c r="I17" s="97"/>
      <c r="J17" s="99"/>
      <c r="K17" s="97"/>
      <c r="L17" s="99"/>
      <c r="M17" s="97"/>
      <c r="N17" s="99"/>
    </row>
    <row r="18" spans="1:14" ht="12.75">
      <c r="A18" s="457"/>
      <c r="B18" s="84" t="s">
        <v>101</v>
      </c>
      <c r="C18" s="93">
        <v>0</v>
      </c>
      <c r="D18" s="187">
        <f>(4.04+0.871+0.437+0.015)*1.075*1.2</f>
        <v>6.918269999999999</v>
      </c>
      <c r="E18" s="465"/>
      <c r="F18" s="456"/>
      <c r="G18" s="474">
        <v>17043</v>
      </c>
      <c r="H18" s="476">
        <v>6.91</v>
      </c>
      <c r="I18" s="74"/>
      <c r="J18" s="103"/>
      <c r="K18" s="74"/>
      <c r="L18" s="103"/>
      <c r="M18" s="74"/>
      <c r="N18" s="103"/>
    </row>
    <row r="19" spans="1:14" ht="13.5" thickBot="1">
      <c r="A19" s="457"/>
      <c r="B19" s="84" t="s">
        <v>113</v>
      </c>
      <c r="C19" s="92">
        <v>17.25</v>
      </c>
      <c r="D19" s="189">
        <f>49.863*1.075*1.2</f>
        <v>64.32327</v>
      </c>
      <c r="E19" s="465"/>
      <c r="F19" s="456"/>
      <c r="G19" s="475"/>
      <c r="H19" s="477"/>
      <c r="I19" s="143"/>
      <c r="J19" s="105"/>
      <c r="K19" s="143"/>
      <c r="L19" s="105"/>
      <c r="M19" s="143"/>
      <c r="N19" s="105"/>
    </row>
    <row r="20" spans="1:14" ht="13.5" thickTop="1">
      <c r="A20" s="454" t="s">
        <v>19</v>
      </c>
      <c r="B20" s="81" t="s">
        <v>94</v>
      </c>
      <c r="C20" s="168">
        <v>1800</v>
      </c>
      <c r="D20" s="186">
        <f>(6.29+3.485+0.437+0.015)*1.075*1.2</f>
        <v>13.19283</v>
      </c>
      <c r="E20" s="465">
        <v>93</v>
      </c>
      <c r="F20" s="456">
        <v>52.47</v>
      </c>
      <c r="G20" s="15">
        <v>801.96</v>
      </c>
      <c r="H20" s="193">
        <v>56.19</v>
      </c>
      <c r="I20" s="6"/>
      <c r="J20" s="7"/>
      <c r="K20" s="6"/>
      <c r="L20" s="7"/>
      <c r="M20" s="6"/>
      <c r="N20" s="7"/>
    </row>
    <row r="21" spans="1:14" ht="12.75">
      <c r="A21" s="455"/>
      <c r="B21" s="84" t="s">
        <v>101</v>
      </c>
      <c r="C21" s="93">
        <v>0</v>
      </c>
      <c r="D21" s="187">
        <f>(4.04+0.871+0.437+0.015)*1.075*1.2</f>
        <v>6.918269999999999</v>
      </c>
      <c r="E21" s="465"/>
      <c r="F21" s="456"/>
      <c r="G21" s="474">
        <v>14761</v>
      </c>
      <c r="H21" s="476">
        <v>6.91</v>
      </c>
      <c r="I21" s="6"/>
      <c r="J21" s="7"/>
      <c r="K21" s="6"/>
      <c r="L21" s="7"/>
      <c r="M21" s="6"/>
      <c r="N21" s="7"/>
    </row>
    <row r="22" spans="1:14" ht="13.5" thickBot="1">
      <c r="A22" s="455"/>
      <c r="B22" s="84" t="s">
        <v>113</v>
      </c>
      <c r="C22" s="92">
        <v>17.25</v>
      </c>
      <c r="D22" s="189">
        <f>49.863*1.075*1.2</f>
        <v>64.32327</v>
      </c>
      <c r="E22" s="465"/>
      <c r="F22" s="456"/>
      <c r="G22" s="475"/>
      <c r="H22" s="477"/>
      <c r="I22" s="6"/>
      <c r="J22" s="7"/>
      <c r="K22" s="6"/>
      <c r="L22" s="7"/>
      <c r="M22" s="6"/>
      <c r="N22" s="7"/>
    </row>
    <row r="23" spans="1:14" ht="13.5" thickTop="1">
      <c r="A23" s="454" t="s">
        <v>20</v>
      </c>
      <c r="B23" s="81" t="s">
        <v>94</v>
      </c>
      <c r="C23" s="168">
        <v>1400</v>
      </c>
      <c r="D23" s="186">
        <f>(6.29+3.485+0.437+0.015)*1.075*1.2</f>
        <v>13.19283</v>
      </c>
      <c r="E23" s="465">
        <f>60+1</f>
        <v>61</v>
      </c>
      <c r="F23" s="456">
        <v>52.47</v>
      </c>
      <c r="G23" s="15">
        <v>801.96</v>
      </c>
      <c r="H23" s="193">
        <v>56.19</v>
      </c>
      <c r="I23" s="9"/>
      <c r="J23" s="10"/>
      <c r="K23" s="9"/>
      <c r="L23" s="10"/>
      <c r="M23" s="9"/>
      <c r="N23" s="10"/>
    </row>
    <row r="24" spans="1:14" ht="12.75">
      <c r="A24" s="455"/>
      <c r="B24" s="84" t="s">
        <v>101</v>
      </c>
      <c r="C24" s="93">
        <v>0</v>
      </c>
      <c r="D24" s="187">
        <f>(4.04+0.871+0.437+0.015)*1.075*1.2</f>
        <v>6.918269999999999</v>
      </c>
      <c r="E24" s="465"/>
      <c r="F24" s="456"/>
      <c r="G24" s="474">
        <v>0</v>
      </c>
      <c r="H24" s="476">
        <v>6.91</v>
      </c>
      <c r="I24" s="6"/>
      <c r="J24" s="7"/>
      <c r="K24" s="6"/>
      <c r="L24" s="7"/>
      <c r="M24" s="6"/>
      <c r="N24" s="7"/>
    </row>
    <row r="25" spans="1:14" ht="13.5" thickBot="1">
      <c r="A25" s="455"/>
      <c r="B25" s="84" t="s">
        <v>113</v>
      </c>
      <c r="C25" s="92">
        <v>17.25</v>
      </c>
      <c r="D25" s="189">
        <f>49.863*1.075*1.2</f>
        <v>64.32327</v>
      </c>
      <c r="E25" s="465"/>
      <c r="F25" s="456"/>
      <c r="G25" s="475"/>
      <c r="H25" s="477"/>
      <c r="I25" s="6"/>
      <c r="J25" s="7"/>
      <c r="K25" s="6"/>
      <c r="L25" s="7"/>
      <c r="M25" s="6"/>
      <c r="N25" s="7"/>
    </row>
    <row r="26" spans="1:14" ht="13.5" thickTop="1">
      <c r="A26" s="454" t="s">
        <v>68</v>
      </c>
      <c r="B26" s="81" t="s">
        <v>94</v>
      </c>
      <c r="C26" s="168">
        <v>1520</v>
      </c>
      <c r="D26" s="186">
        <f>(6.29+3.485+0.437+0.015)*1.075*1.2</f>
        <v>13.19283</v>
      </c>
      <c r="E26" s="465">
        <f>59+2</f>
        <v>61</v>
      </c>
      <c r="F26" s="456">
        <v>52.47</v>
      </c>
      <c r="G26" s="15">
        <v>801.96</v>
      </c>
      <c r="H26" s="193">
        <v>56.19</v>
      </c>
      <c r="I26" s="9"/>
      <c r="J26" s="10"/>
      <c r="K26" s="9"/>
      <c r="L26" s="10"/>
      <c r="M26" s="9"/>
      <c r="N26" s="10"/>
    </row>
    <row r="27" spans="1:14" ht="12.75">
      <c r="A27" s="455"/>
      <c r="B27" s="84" t="s">
        <v>101</v>
      </c>
      <c r="C27" s="93">
        <v>0</v>
      </c>
      <c r="D27" s="187">
        <f>(4.04+0.871+0.437+0.015)*1.075*1.2</f>
        <v>6.918269999999999</v>
      </c>
      <c r="E27" s="465"/>
      <c r="F27" s="456"/>
      <c r="G27" s="474">
        <v>0</v>
      </c>
      <c r="H27" s="476">
        <v>6.91</v>
      </c>
      <c r="I27" s="6"/>
      <c r="J27" s="7"/>
      <c r="K27" s="6"/>
      <c r="L27" s="7"/>
      <c r="M27" s="6"/>
      <c r="N27" s="7"/>
    </row>
    <row r="28" spans="1:14" ht="13.5" thickBot="1">
      <c r="A28" s="455"/>
      <c r="B28" s="84" t="s">
        <v>113</v>
      </c>
      <c r="C28" s="92">
        <v>17.25</v>
      </c>
      <c r="D28" s="189">
        <f>49.863*1.075*1.2</f>
        <v>64.32327</v>
      </c>
      <c r="E28" s="465"/>
      <c r="F28" s="456"/>
      <c r="G28" s="475"/>
      <c r="H28" s="477"/>
      <c r="I28" s="6"/>
      <c r="J28" s="7"/>
      <c r="K28" s="6"/>
      <c r="L28" s="7"/>
      <c r="M28" s="6"/>
      <c r="N28" s="7"/>
    </row>
    <row r="29" spans="1:14" ht="13.5" thickTop="1">
      <c r="A29" s="454" t="s">
        <v>69</v>
      </c>
      <c r="B29" s="116" t="s">
        <v>94</v>
      </c>
      <c r="C29" s="168">
        <v>1180</v>
      </c>
      <c r="D29" s="186">
        <f>(6.29+3.485+0.437+0.015)*1.075*1.2</f>
        <v>13.19283</v>
      </c>
      <c r="E29" s="472">
        <v>39</v>
      </c>
      <c r="F29" s="363">
        <v>52.47</v>
      </c>
      <c r="G29" s="15">
        <v>801.96</v>
      </c>
      <c r="H29" s="193">
        <v>56.19</v>
      </c>
      <c r="I29" s="9"/>
      <c r="J29" s="10"/>
      <c r="K29" s="9"/>
      <c r="L29" s="10"/>
      <c r="M29" s="9"/>
      <c r="N29" s="10"/>
    </row>
    <row r="30" spans="1:14" ht="12.75">
      <c r="A30" s="455"/>
      <c r="B30" s="117" t="s">
        <v>101</v>
      </c>
      <c r="C30" s="93">
        <v>0</v>
      </c>
      <c r="D30" s="187">
        <f>(4.04+0.871+0.437+0.015)*1.075*1.2</f>
        <v>6.918269999999999</v>
      </c>
      <c r="E30" s="473"/>
      <c r="F30" s="478"/>
      <c r="G30" s="474">
        <v>0</v>
      </c>
      <c r="H30" s="476">
        <v>6.91</v>
      </c>
      <c r="I30" s="6"/>
      <c r="J30" s="7"/>
      <c r="K30" s="6"/>
      <c r="L30" s="7"/>
      <c r="M30" s="6"/>
      <c r="N30" s="7"/>
    </row>
    <row r="31" spans="1:14" ht="13.5" thickBot="1">
      <c r="A31" s="455"/>
      <c r="B31" s="117" t="s">
        <v>113</v>
      </c>
      <c r="C31" s="92">
        <v>17.25</v>
      </c>
      <c r="D31" s="189">
        <f>49.863*1.075*1.2</f>
        <v>64.32327</v>
      </c>
      <c r="E31" s="473"/>
      <c r="F31" s="478"/>
      <c r="G31" s="475"/>
      <c r="H31" s="477"/>
      <c r="I31" s="6"/>
      <c r="J31" s="7"/>
      <c r="K31" s="6"/>
      <c r="L31" s="7"/>
      <c r="M31" s="6"/>
      <c r="N31" s="7"/>
    </row>
    <row r="32" spans="1:14" ht="13.5" thickTop="1">
      <c r="A32" s="454" t="s">
        <v>22</v>
      </c>
      <c r="B32" s="116" t="s">
        <v>94</v>
      </c>
      <c r="C32" s="123">
        <v>1100</v>
      </c>
      <c r="D32" s="186">
        <f>(6.29+3.485+0.437+0.015)*1.075*1.2</f>
        <v>13.19283</v>
      </c>
      <c r="E32" s="472">
        <f>45+1</f>
        <v>46</v>
      </c>
      <c r="F32" s="363">
        <v>52.47</v>
      </c>
      <c r="G32" s="15">
        <v>801.96</v>
      </c>
      <c r="H32" s="193">
        <v>56.19</v>
      </c>
      <c r="I32" s="112"/>
      <c r="J32" s="119"/>
      <c r="K32" s="112"/>
      <c r="L32" s="119"/>
      <c r="M32" s="112"/>
      <c r="N32" s="119"/>
    </row>
    <row r="33" spans="1:14" ht="12.75" customHeight="1">
      <c r="A33" s="455"/>
      <c r="B33" s="117" t="s">
        <v>101</v>
      </c>
      <c r="C33" s="69">
        <v>0</v>
      </c>
      <c r="D33" s="187">
        <f>(4.04+0.871+0.437+0.015)*1.075*1.2</f>
        <v>6.918269999999999</v>
      </c>
      <c r="E33" s="473"/>
      <c r="F33" s="478"/>
      <c r="G33" s="474">
        <v>0</v>
      </c>
      <c r="H33" s="476">
        <v>6.91</v>
      </c>
      <c r="I33" s="113"/>
      <c r="J33" s="120"/>
      <c r="K33" s="113"/>
      <c r="L33" s="120"/>
      <c r="M33" s="113"/>
      <c r="N33" s="120"/>
    </row>
    <row r="34" spans="1:14" ht="12.75" customHeight="1" thickBot="1">
      <c r="A34" s="455"/>
      <c r="B34" s="117" t="s">
        <v>113</v>
      </c>
      <c r="C34" s="118">
        <v>17.25</v>
      </c>
      <c r="D34" s="189">
        <f>49.863*1.075*1.2</f>
        <v>64.32327</v>
      </c>
      <c r="E34" s="473"/>
      <c r="F34" s="478"/>
      <c r="G34" s="475"/>
      <c r="H34" s="477"/>
      <c r="I34" s="114"/>
      <c r="J34" s="121"/>
      <c r="K34" s="114"/>
      <c r="L34" s="121"/>
      <c r="M34" s="114"/>
      <c r="N34" s="121"/>
    </row>
    <row r="35" spans="1:14" ht="12.75" customHeight="1" thickTop="1">
      <c r="A35" s="454" t="s">
        <v>23</v>
      </c>
      <c r="B35" s="81" t="s">
        <v>94</v>
      </c>
      <c r="C35" s="123">
        <v>1540</v>
      </c>
      <c r="D35" s="186">
        <f>(9.7+3.485+0.437+0.015)*1.075*1.2</f>
        <v>17.59173</v>
      </c>
      <c r="E35" s="472">
        <f>52</f>
        <v>52</v>
      </c>
      <c r="F35" s="363">
        <v>58.17</v>
      </c>
      <c r="G35" s="15">
        <v>801.96</v>
      </c>
      <c r="H35" s="193">
        <v>56.19</v>
      </c>
      <c r="I35" s="112"/>
      <c r="J35" s="119"/>
      <c r="K35" s="112"/>
      <c r="L35" s="119"/>
      <c r="M35" s="112"/>
      <c r="N35" s="119"/>
    </row>
    <row r="36" spans="1:14" ht="12.75" customHeight="1">
      <c r="A36" s="455"/>
      <c r="B36" s="84" t="s">
        <v>101</v>
      </c>
      <c r="C36" s="69">
        <v>0</v>
      </c>
      <c r="D36" s="187">
        <f>(6.15+0.871+0.437+0.015)*1.075*1.2</f>
        <v>9.640170000000001</v>
      </c>
      <c r="E36" s="473"/>
      <c r="F36" s="478"/>
      <c r="G36" s="474">
        <v>0</v>
      </c>
      <c r="H36" s="476">
        <v>6.91</v>
      </c>
      <c r="I36" s="113"/>
      <c r="J36" s="120"/>
      <c r="K36" s="113"/>
      <c r="L36" s="120"/>
      <c r="M36" s="113"/>
      <c r="N36" s="120"/>
    </row>
    <row r="37" spans="1:14" ht="12.75" customHeight="1" thickBot="1">
      <c r="A37" s="455"/>
      <c r="B37" s="84" t="s">
        <v>113</v>
      </c>
      <c r="C37" s="118">
        <v>17.25</v>
      </c>
      <c r="D37" s="189">
        <f>49.863*1.075*1.2</f>
        <v>64.32327</v>
      </c>
      <c r="E37" s="473"/>
      <c r="F37" s="478"/>
      <c r="G37" s="475"/>
      <c r="H37" s="477"/>
      <c r="I37" s="114"/>
      <c r="J37" s="121"/>
      <c r="K37" s="114"/>
      <c r="L37" s="121"/>
      <c r="M37" s="114"/>
      <c r="N37" s="121"/>
    </row>
    <row r="38" spans="1:14" ht="13.5" thickTop="1">
      <c r="A38" s="454" t="s">
        <v>24</v>
      </c>
      <c r="B38" s="116" t="s">
        <v>94</v>
      </c>
      <c r="C38" s="272">
        <v>1800</v>
      </c>
      <c r="D38" s="186">
        <f>(9.7+3.879+0.437+0.015)*1.075*1.2</f>
        <v>18.09999</v>
      </c>
      <c r="E38" s="390">
        <f>39+3</f>
        <v>42</v>
      </c>
      <c r="F38" s="363">
        <v>58.17</v>
      </c>
      <c r="G38" s="15">
        <v>801.96</v>
      </c>
      <c r="H38" s="193">
        <v>56.19</v>
      </c>
      <c r="I38" s="112"/>
      <c r="J38" s="119"/>
      <c r="K38" s="112"/>
      <c r="L38" s="119"/>
      <c r="M38" s="112"/>
      <c r="N38" s="119"/>
    </row>
    <row r="39" spans="1:14" ht="15" customHeight="1">
      <c r="A39" s="455"/>
      <c r="B39" s="117" t="s">
        <v>101</v>
      </c>
      <c r="C39" s="113">
        <v>0</v>
      </c>
      <c r="D39" s="187">
        <f>(6.15+0.97+0.437+0.015)*1.075*1.2</f>
        <v>9.767879999999998</v>
      </c>
      <c r="E39" s="464"/>
      <c r="F39" s="478"/>
      <c r="G39" s="474">
        <v>9836</v>
      </c>
      <c r="H39" s="476">
        <v>6.91</v>
      </c>
      <c r="I39" s="113"/>
      <c r="J39" s="120"/>
      <c r="K39" s="113"/>
      <c r="L39" s="120"/>
      <c r="M39" s="113"/>
      <c r="N39" s="120"/>
    </row>
    <row r="40" spans="1:14" ht="15" customHeight="1" thickBot="1">
      <c r="A40" s="455"/>
      <c r="B40" s="117" t="s">
        <v>113</v>
      </c>
      <c r="C40" s="113">
        <v>17.25</v>
      </c>
      <c r="D40" s="189">
        <f>54.258*1.075*1.2</f>
        <v>69.99282</v>
      </c>
      <c r="E40" s="464"/>
      <c r="F40" s="478"/>
      <c r="G40" s="475"/>
      <c r="H40" s="477"/>
      <c r="I40" s="114"/>
      <c r="J40" s="121"/>
      <c r="K40" s="114"/>
      <c r="L40" s="121"/>
      <c r="M40" s="114"/>
      <c r="N40" s="121"/>
    </row>
    <row r="41" spans="1:14" ht="13.5" thickTop="1">
      <c r="A41" s="454" t="s">
        <v>25</v>
      </c>
      <c r="B41" s="116" t="s">
        <v>94</v>
      </c>
      <c r="C41" s="273">
        <v>2360</v>
      </c>
      <c r="D41" s="186">
        <f>(9.7+3.879+0.437+0.015)*1.075*1.2</f>
        <v>18.09999</v>
      </c>
      <c r="E41" s="390">
        <f>36</f>
        <v>36</v>
      </c>
      <c r="F41" s="363">
        <v>58.17</v>
      </c>
      <c r="G41" s="15">
        <v>801.96</v>
      </c>
      <c r="H41" s="193">
        <v>56.19</v>
      </c>
      <c r="I41" s="112"/>
      <c r="J41" s="119"/>
      <c r="K41" s="112"/>
      <c r="L41" s="119"/>
      <c r="M41" s="112"/>
      <c r="N41" s="119"/>
    </row>
    <row r="42" spans="1:14" ht="15" customHeight="1">
      <c r="A42" s="455"/>
      <c r="B42" s="117" t="s">
        <v>101</v>
      </c>
      <c r="C42" s="131">
        <v>0</v>
      </c>
      <c r="D42" s="187">
        <f>(6.15+0.97+0.437+0.015)*1.075*1.2</f>
        <v>9.767879999999998</v>
      </c>
      <c r="E42" s="464"/>
      <c r="F42" s="478"/>
      <c r="G42" s="474">
        <v>13562</v>
      </c>
      <c r="H42" s="476">
        <v>6.91</v>
      </c>
      <c r="I42" s="113"/>
      <c r="J42" s="120"/>
      <c r="K42" s="113"/>
      <c r="L42" s="120"/>
      <c r="M42" s="113"/>
      <c r="N42" s="120"/>
    </row>
    <row r="43" spans="1:14" ht="15" customHeight="1" thickBot="1">
      <c r="A43" s="455"/>
      <c r="B43" s="117" t="s">
        <v>113</v>
      </c>
      <c r="C43" s="281">
        <v>17.25</v>
      </c>
      <c r="D43" s="189">
        <f>54.258*1.075*1.2</f>
        <v>69.99282</v>
      </c>
      <c r="E43" s="464"/>
      <c r="F43" s="478"/>
      <c r="G43" s="475"/>
      <c r="H43" s="477"/>
      <c r="I43" s="114"/>
      <c r="J43" s="121"/>
      <c r="K43" s="114"/>
      <c r="L43" s="121"/>
      <c r="M43" s="114"/>
      <c r="N43" s="121"/>
    </row>
    <row r="44" spans="1:14" ht="12.75">
      <c r="A44" s="458" t="s">
        <v>26</v>
      </c>
      <c r="B44" s="116" t="s">
        <v>94</v>
      </c>
      <c r="C44" s="282"/>
      <c r="D44" s="182"/>
      <c r="E44" s="461"/>
      <c r="F44" s="479"/>
      <c r="G44" s="315"/>
      <c r="H44" s="327"/>
      <c r="I44" s="112"/>
      <c r="J44" s="119"/>
      <c r="K44" s="112"/>
      <c r="L44" s="119"/>
      <c r="M44" s="112"/>
      <c r="N44" s="119"/>
    </row>
    <row r="45" spans="1:14" ht="15" customHeight="1">
      <c r="A45" s="459"/>
      <c r="B45" s="117" t="s">
        <v>101</v>
      </c>
      <c r="C45" s="283"/>
      <c r="D45" s="183"/>
      <c r="E45" s="462"/>
      <c r="F45" s="480"/>
      <c r="G45" s="316"/>
      <c r="H45" s="314"/>
      <c r="I45" s="113"/>
      <c r="J45" s="120"/>
      <c r="K45" s="113"/>
      <c r="L45" s="120"/>
      <c r="M45" s="113"/>
      <c r="N45" s="120"/>
    </row>
    <row r="46" spans="1:14" ht="15" customHeight="1" thickBot="1">
      <c r="A46" s="460"/>
      <c r="B46" s="188" t="s">
        <v>113</v>
      </c>
      <c r="C46" s="284"/>
      <c r="D46" s="183"/>
      <c r="E46" s="463"/>
      <c r="F46" s="481"/>
      <c r="G46" s="194"/>
      <c r="H46" s="195"/>
      <c r="I46" s="114"/>
      <c r="J46" s="121"/>
      <c r="K46" s="114"/>
      <c r="L46" s="121"/>
      <c r="M46" s="114"/>
      <c r="N46" s="121"/>
    </row>
    <row r="47" spans="1:1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27" customFormat="1" ht="12.75">
      <c r="A48" s="403" t="s">
        <v>32</v>
      </c>
      <c r="B48" s="403"/>
      <c r="C48" s="403"/>
      <c r="D48" s="404"/>
      <c r="E48" s="23"/>
      <c r="F48" s="23"/>
      <c r="G48" s="23"/>
      <c r="H48" s="23"/>
      <c r="I48" s="23"/>
      <c r="J48" s="23"/>
      <c r="K48" s="23"/>
      <c r="L48" s="23"/>
      <c r="M48" s="23"/>
      <c r="N48" s="23"/>
    </row>
    <row r="49" spans="1:14" s="27" customFormat="1" ht="12.75">
      <c r="A49" s="23"/>
      <c r="B49" s="22" t="s">
        <v>33</v>
      </c>
      <c r="C49" s="22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</row>
    <row r="50" spans="1:14" s="27" customFormat="1" ht="12.75">
      <c r="A50" s="23"/>
      <c r="B50" s="403" t="s">
        <v>35</v>
      </c>
      <c r="C50" s="403"/>
      <c r="D50" s="403"/>
      <c r="E50" s="404"/>
      <c r="F50" s="23"/>
      <c r="G50" s="23"/>
      <c r="H50" s="23"/>
      <c r="I50" s="23"/>
      <c r="J50" s="23"/>
      <c r="K50" s="23"/>
      <c r="L50" s="23"/>
      <c r="M50" s="23"/>
      <c r="N50" s="23"/>
    </row>
    <row r="51" spans="1:14" s="27" customFormat="1" ht="12.75">
      <c r="A51" s="23"/>
      <c r="B51" s="403" t="s">
        <v>34</v>
      </c>
      <c r="C51" s="403"/>
      <c r="D51" s="403"/>
      <c r="E51" s="23"/>
      <c r="F51" s="23"/>
      <c r="G51" s="23"/>
      <c r="H51" s="23"/>
      <c r="I51" s="23"/>
      <c r="J51" s="23"/>
      <c r="K51" s="23"/>
      <c r="L51" s="23"/>
      <c r="M51" s="23"/>
      <c r="N51" s="23"/>
    </row>
    <row r="52" spans="1:14" ht="14.25">
      <c r="A52" s="16"/>
      <c r="B52" s="16"/>
      <c r="C52" s="16"/>
      <c r="D52" s="16"/>
      <c r="E52" s="16"/>
      <c r="F52" s="16"/>
      <c r="G52" s="16"/>
      <c r="H52" s="1"/>
      <c r="I52" s="1"/>
      <c r="J52" s="1"/>
      <c r="K52" s="1"/>
      <c r="L52" s="1"/>
      <c r="M52" s="1"/>
      <c r="N52" s="1"/>
    </row>
  </sheetData>
  <sheetProtection/>
  <mergeCells count="76">
    <mergeCell ref="H33:H34"/>
    <mergeCell ref="G24:G25"/>
    <mergeCell ref="G27:G28"/>
    <mergeCell ref="H27:H28"/>
    <mergeCell ref="G30:G31"/>
    <mergeCell ref="H30:H31"/>
    <mergeCell ref="H24:H25"/>
    <mergeCell ref="E32:E34"/>
    <mergeCell ref="G12:G13"/>
    <mergeCell ref="H12:H13"/>
    <mergeCell ref="G21:G22"/>
    <mergeCell ref="H21:H22"/>
    <mergeCell ref="G15:G16"/>
    <mergeCell ref="H15:H16"/>
    <mergeCell ref="G18:G19"/>
    <mergeCell ref="H18:H19"/>
    <mergeCell ref="G33:G34"/>
    <mergeCell ref="G36:G37"/>
    <mergeCell ref="H36:H37"/>
    <mergeCell ref="F26:F28"/>
    <mergeCell ref="B50:E50"/>
    <mergeCell ref="F38:F40"/>
    <mergeCell ref="F29:F31"/>
    <mergeCell ref="F35:F37"/>
    <mergeCell ref="F32:F34"/>
    <mergeCell ref="F44:F46"/>
    <mergeCell ref="F41:F43"/>
    <mergeCell ref="G44:G45"/>
    <mergeCell ref="H44:H45"/>
    <mergeCell ref="G39:G40"/>
    <mergeCell ref="H39:H40"/>
    <mergeCell ref="G42:G43"/>
    <mergeCell ref="H42:H43"/>
    <mergeCell ref="B51:D51"/>
    <mergeCell ref="A11:A13"/>
    <mergeCell ref="A29:A31"/>
    <mergeCell ref="E29:E31"/>
    <mergeCell ref="A35:A37"/>
    <mergeCell ref="E35:E37"/>
    <mergeCell ref="E23:E25"/>
    <mergeCell ref="A26:A28"/>
    <mergeCell ref="E26:E28"/>
    <mergeCell ref="A48:D48"/>
    <mergeCell ref="A6:N7"/>
    <mergeCell ref="A8:A10"/>
    <mergeCell ref="B8:D8"/>
    <mergeCell ref="E8:F8"/>
    <mergeCell ref="G8:N8"/>
    <mergeCell ref="D9:D10"/>
    <mergeCell ref="M9:N9"/>
    <mergeCell ref="A20:A22"/>
    <mergeCell ref="E20:E22"/>
    <mergeCell ref="F20:F22"/>
    <mergeCell ref="K9:L9"/>
    <mergeCell ref="I9:J9"/>
    <mergeCell ref="G9:H9"/>
    <mergeCell ref="F11:F13"/>
    <mergeCell ref="B9:C10"/>
    <mergeCell ref="F14:F16"/>
    <mergeCell ref="A17:A19"/>
    <mergeCell ref="E17:E19"/>
    <mergeCell ref="F17:F19"/>
    <mergeCell ref="E9:E10"/>
    <mergeCell ref="F9:F10"/>
    <mergeCell ref="E11:E13"/>
    <mergeCell ref="E14:E16"/>
    <mergeCell ref="A23:A25"/>
    <mergeCell ref="F23:F25"/>
    <mergeCell ref="A14:A16"/>
    <mergeCell ref="A44:A46"/>
    <mergeCell ref="E44:E46"/>
    <mergeCell ref="A41:A43"/>
    <mergeCell ref="E41:E43"/>
    <mergeCell ref="A38:A40"/>
    <mergeCell ref="E38:E40"/>
    <mergeCell ref="A32:A34"/>
  </mergeCells>
  <printOptions/>
  <pageMargins left="0.2" right="0.25" top="0.51" bottom="0.67" header="0.5" footer="0.19"/>
  <pageSetup horizontalDpi="600" verticalDpi="600" orientation="landscape" paperSize="9" r:id="rId1"/>
  <headerFooter alignWithMargins="0"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45"/>
  <sheetViews>
    <sheetView zoomScalePageLayoutView="0" workbookViewId="0" topLeftCell="A16">
      <selection activeCell="E33" sqref="E33:E34"/>
    </sheetView>
  </sheetViews>
  <sheetFormatPr defaultColWidth="9.140625" defaultRowHeight="12.75"/>
  <cols>
    <col min="1" max="1" width="17.00390625" style="0" customWidth="1"/>
    <col min="2" max="2" width="7.28125" style="0" customWidth="1"/>
    <col min="3" max="3" width="11.8515625" style="0" customWidth="1"/>
    <col min="4" max="4" width="7.28125" style="0" customWidth="1"/>
    <col min="5" max="5" width="13.00390625" style="0" customWidth="1"/>
    <col min="6" max="6" width="5.8515625" style="0" customWidth="1"/>
    <col min="7" max="7" width="14.57421875" style="0" customWidth="1"/>
    <col min="8" max="8" width="11.28125" style="0" customWidth="1"/>
    <col min="9" max="9" width="11.00390625" style="0" customWidth="1"/>
    <col min="10" max="10" width="7.57421875" style="0" customWidth="1"/>
    <col min="11" max="11" width="11.140625" style="0" customWidth="1"/>
    <col min="12" max="12" width="5.7109375" style="0" customWidth="1"/>
    <col min="13" max="13" width="11.00390625" style="0" customWidth="1"/>
    <col min="14" max="14" width="9.00390625" style="0" customWidth="1"/>
  </cols>
  <sheetData>
    <row r="1" spans="1:13" s="20" customFormat="1" ht="15">
      <c r="A1" s="19" t="s">
        <v>41</v>
      </c>
      <c r="B1" s="17" t="s">
        <v>46</v>
      </c>
      <c r="C1" s="17"/>
      <c r="D1" s="18"/>
      <c r="E1" s="18">
        <v>50190</v>
      </c>
      <c r="F1" s="18"/>
      <c r="G1" s="18"/>
      <c r="H1" s="17" t="s">
        <v>29</v>
      </c>
      <c r="I1" s="17"/>
      <c r="J1" s="17"/>
      <c r="K1" s="18">
        <v>946</v>
      </c>
      <c r="L1" s="18"/>
      <c r="M1" s="16"/>
    </row>
    <row r="2" spans="1:13" s="20" customFormat="1" ht="15">
      <c r="A2" s="17" t="s">
        <v>1</v>
      </c>
      <c r="B2" s="17" t="s">
        <v>54</v>
      </c>
      <c r="C2" s="17"/>
      <c r="D2" s="18"/>
      <c r="E2" s="18"/>
      <c r="F2" s="18"/>
      <c r="G2" s="18"/>
      <c r="H2" s="17" t="s">
        <v>2</v>
      </c>
      <c r="I2" s="17"/>
      <c r="J2" s="17"/>
      <c r="K2" s="18">
        <v>7</v>
      </c>
      <c r="L2" s="18"/>
      <c r="M2" s="16"/>
    </row>
    <row r="3" spans="1:13" s="20" customFormat="1" ht="15">
      <c r="A3" s="17" t="s">
        <v>0</v>
      </c>
      <c r="B3" s="17" t="s">
        <v>38</v>
      </c>
      <c r="C3" s="17"/>
      <c r="D3" s="18"/>
      <c r="E3" s="18"/>
      <c r="F3" s="18"/>
      <c r="G3" s="18"/>
      <c r="H3" s="17" t="s">
        <v>3</v>
      </c>
      <c r="I3" s="17"/>
      <c r="J3" s="17"/>
      <c r="K3" s="18">
        <v>3</v>
      </c>
      <c r="L3" s="18"/>
      <c r="M3" s="16"/>
    </row>
    <row r="4" spans="1:14" s="20" customFormat="1" ht="15">
      <c r="A4" s="17" t="s">
        <v>4</v>
      </c>
      <c r="B4" s="17">
        <v>184</v>
      </c>
      <c r="C4" s="17"/>
      <c r="D4" s="18"/>
      <c r="E4" s="18"/>
      <c r="F4" s="18"/>
      <c r="G4" s="18"/>
      <c r="H4" s="17" t="s">
        <v>31</v>
      </c>
      <c r="I4" s="17"/>
      <c r="J4" s="17"/>
      <c r="K4" s="33" t="s">
        <v>62</v>
      </c>
      <c r="L4" s="21"/>
      <c r="M4" s="21"/>
      <c r="N4" s="21"/>
    </row>
    <row r="5" spans="1:13" ht="15" thickBot="1">
      <c r="A5" s="1"/>
      <c r="B5" s="1"/>
      <c r="C5" s="1"/>
      <c r="D5" s="1"/>
      <c r="E5" s="1"/>
      <c r="F5" s="1"/>
      <c r="G5" s="1"/>
      <c r="H5" s="1"/>
      <c r="I5" s="1"/>
      <c r="J5" s="35"/>
      <c r="K5" s="35" t="s">
        <v>65</v>
      </c>
      <c r="L5" s="35"/>
      <c r="M5" s="1"/>
    </row>
    <row r="6" spans="1:14" ht="13.5" thickTop="1">
      <c r="A6" s="376" t="s">
        <v>5</v>
      </c>
      <c r="B6" s="377"/>
      <c r="C6" s="377"/>
      <c r="D6" s="377"/>
      <c r="E6" s="377"/>
      <c r="F6" s="377"/>
      <c r="G6" s="377"/>
      <c r="H6" s="377"/>
      <c r="I6" s="377"/>
      <c r="J6" s="377"/>
      <c r="K6" s="377"/>
      <c r="L6" s="377"/>
      <c r="M6" s="377"/>
      <c r="N6" s="378"/>
    </row>
    <row r="7" spans="1:14" ht="13.5" thickBot="1">
      <c r="A7" s="379"/>
      <c r="B7" s="380"/>
      <c r="C7" s="380"/>
      <c r="D7" s="380"/>
      <c r="E7" s="380"/>
      <c r="F7" s="380"/>
      <c r="G7" s="380"/>
      <c r="H7" s="380"/>
      <c r="I7" s="380"/>
      <c r="J7" s="380"/>
      <c r="K7" s="380"/>
      <c r="L7" s="380"/>
      <c r="M7" s="380"/>
      <c r="N7" s="381"/>
    </row>
    <row r="8" spans="1:14" ht="16.5" thickBot="1" thickTop="1">
      <c r="A8" s="369" t="s">
        <v>6</v>
      </c>
      <c r="B8" s="357" t="s">
        <v>7</v>
      </c>
      <c r="C8" s="361"/>
      <c r="D8" s="358"/>
      <c r="E8" s="357" t="s">
        <v>11</v>
      </c>
      <c r="F8" s="358"/>
      <c r="G8" s="382" t="s">
        <v>15</v>
      </c>
      <c r="H8" s="383"/>
      <c r="I8" s="383"/>
      <c r="J8" s="383"/>
      <c r="K8" s="383"/>
      <c r="L8" s="383"/>
      <c r="M8" s="383"/>
      <c r="N8" s="384"/>
    </row>
    <row r="9" spans="1:14" ht="13.5" thickTop="1">
      <c r="A9" s="370"/>
      <c r="B9" s="399" t="s">
        <v>8</v>
      </c>
      <c r="C9" s="372"/>
      <c r="D9" s="373" t="s">
        <v>9</v>
      </c>
      <c r="E9" s="466" t="s">
        <v>10</v>
      </c>
      <c r="F9" s="373" t="s">
        <v>9</v>
      </c>
      <c r="G9" s="365" t="s">
        <v>27</v>
      </c>
      <c r="H9" s="366"/>
      <c r="I9" s="375" t="s">
        <v>28</v>
      </c>
      <c r="J9" s="356"/>
      <c r="K9" s="375" t="s">
        <v>13</v>
      </c>
      <c r="L9" s="356"/>
      <c r="M9" s="375" t="s">
        <v>14</v>
      </c>
      <c r="N9" s="356"/>
    </row>
    <row r="10" spans="1:14" ht="15" thickBot="1">
      <c r="A10" s="371"/>
      <c r="B10" s="401"/>
      <c r="C10" s="464"/>
      <c r="D10" s="478"/>
      <c r="E10" s="467"/>
      <c r="F10" s="374"/>
      <c r="G10" s="11" t="s">
        <v>114</v>
      </c>
      <c r="H10" s="3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5.75" customHeight="1" thickTop="1">
      <c r="A11" s="359" t="s">
        <v>16</v>
      </c>
      <c r="B11" s="258" t="s">
        <v>94</v>
      </c>
      <c r="C11" s="199">
        <v>660</v>
      </c>
      <c r="D11" s="200">
        <f>(5.66+2.789+0.437+0.015)*1.075*1.2</f>
        <v>11.482289999999999</v>
      </c>
      <c r="E11" s="490">
        <v>13</v>
      </c>
      <c r="F11" s="491">
        <v>52.47</v>
      </c>
      <c r="G11" s="206">
        <v>846.5</v>
      </c>
      <c r="H11" s="201">
        <v>56.19</v>
      </c>
      <c r="I11" s="6"/>
      <c r="J11" s="7"/>
      <c r="K11" s="6"/>
      <c r="L11" s="7"/>
      <c r="M11" s="6"/>
      <c r="N11" s="7"/>
    </row>
    <row r="12" spans="1:14" ht="15" customHeight="1" thickBot="1">
      <c r="A12" s="396"/>
      <c r="B12" s="82" t="s">
        <v>111</v>
      </c>
      <c r="C12" s="202">
        <v>17.25</v>
      </c>
      <c r="D12" s="203">
        <f>49.291*1.075*1.2</f>
        <v>63.58538999999999</v>
      </c>
      <c r="E12" s="398"/>
      <c r="F12" s="487"/>
      <c r="G12" s="289">
        <v>27921</v>
      </c>
      <c r="H12" s="204">
        <v>6.91</v>
      </c>
      <c r="I12" s="6"/>
      <c r="J12" s="7"/>
      <c r="K12" s="6"/>
      <c r="L12" s="7"/>
      <c r="M12" s="6"/>
      <c r="N12" s="7"/>
    </row>
    <row r="13" spans="1:14" ht="15" customHeight="1">
      <c r="A13" s="392" t="s">
        <v>17</v>
      </c>
      <c r="B13" s="81" t="s">
        <v>94</v>
      </c>
      <c r="C13" s="109">
        <v>0</v>
      </c>
      <c r="D13" s="200">
        <f>(5.66+3.049+0.437+0.015)*1.075*1.2</f>
        <v>11.817689999999999</v>
      </c>
      <c r="E13" s="397">
        <v>125</v>
      </c>
      <c r="F13" s="488">
        <v>52.47</v>
      </c>
      <c r="G13" s="206">
        <v>846.5</v>
      </c>
      <c r="H13" s="201">
        <v>56.19</v>
      </c>
      <c r="I13" s="9"/>
      <c r="J13" s="10"/>
      <c r="K13" s="9"/>
      <c r="L13" s="10"/>
      <c r="M13" s="9"/>
      <c r="N13" s="10"/>
    </row>
    <row r="14" spans="1:14" ht="15" customHeight="1" thickBot="1">
      <c r="A14" s="396"/>
      <c r="B14" s="82" t="s">
        <v>111</v>
      </c>
      <c r="C14" s="202">
        <v>17.25</v>
      </c>
      <c r="D14" s="203">
        <f>49.863*1.075*1.2</f>
        <v>64.32327</v>
      </c>
      <c r="E14" s="398"/>
      <c r="F14" s="489"/>
      <c r="G14" s="289">
        <v>27162</v>
      </c>
      <c r="H14" s="204">
        <v>6.91</v>
      </c>
      <c r="I14" s="12"/>
      <c r="J14" s="13"/>
      <c r="K14" s="12"/>
      <c r="L14" s="13"/>
      <c r="M14" s="12"/>
      <c r="N14" s="13"/>
    </row>
    <row r="15" spans="1:14" ht="15" customHeight="1">
      <c r="A15" s="392" t="s">
        <v>18</v>
      </c>
      <c r="B15" s="81" t="s">
        <v>94</v>
      </c>
      <c r="C15" s="109">
        <v>3480</v>
      </c>
      <c r="D15" s="200">
        <f>(5.66+3.049+0.437+0.015)*1.075*1.2</f>
        <v>11.817689999999999</v>
      </c>
      <c r="E15" s="397">
        <v>29</v>
      </c>
      <c r="F15" s="488">
        <v>52.47</v>
      </c>
      <c r="G15" s="206">
        <v>846.5</v>
      </c>
      <c r="H15" s="201">
        <v>56.19</v>
      </c>
      <c r="I15" s="9"/>
      <c r="J15" s="10"/>
      <c r="K15" s="9"/>
      <c r="L15" s="10"/>
      <c r="M15" s="9"/>
      <c r="N15" s="10"/>
    </row>
    <row r="16" spans="1:14" ht="15" customHeight="1" thickBot="1">
      <c r="A16" s="396"/>
      <c r="B16" s="82" t="s">
        <v>111</v>
      </c>
      <c r="C16" s="202">
        <v>17.25</v>
      </c>
      <c r="D16" s="203">
        <f>49.863*1.075*1.2</f>
        <v>64.32327</v>
      </c>
      <c r="E16" s="398"/>
      <c r="F16" s="489"/>
      <c r="G16" s="205">
        <v>29591</v>
      </c>
      <c r="H16" s="204">
        <v>6.91</v>
      </c>
      <c r="I16" s="12"/>
      <c r="J16" s="13"/>
      <c r="K16" s="12"/>
      <c r="L16" s="13"/>
      <c r="M16" s="12"/>
      <c r="N16" s="13"/>
    </row>
    <row r="17" spans="1:14" ht="15" customHeight="1">
      <c r="A17" s="392" t="s">
        <v>19</v>
      </c>
      <c r="B17" s="81" t="s">
        <v>94</v>
      </c>
      <c r="C17" s="109">
        <v>1920</v>
      </c>
      <c r="D17" s="200">
        <f>(5.66+3.049+0.437+0.015)*1.075*1.2</f>
        <v>11.817689999999999</v>
      </c>
      <c r="E17" s="397">
        <f>29+6</f>
        <v>35</v>
      </c>
      <c r="F17" s="488">
        <v>52.47</v>
      </c>
      <c r="G17" s="206">
        <v>846.5</v>
      </c>
      <c r="H17" s="201">
        <v>56.19</v>
      </c>
      <c r="I17" s="9"/>
      <c r="J17" s="10"/>
      <c r="K17" s="9"/>
      <c r="L17" s="10"/>
      <c r="M17" s="9"/>
      <c r="N17" s="10"/>
    </row>
    <row r="18" spans="1:14" ht="13.5" thickBot="1">
      <c r="A18" s="396"/>
      <c r="B18" s="82" t="s">
        <v>111</v>
      </c>
      <c r="C18" s="202">
        <v>17.25</v>
      </c>
      <c r="D18" s="203">
        <f>49.863*1.075*1.2</f>
        <v>64.32327</v>
      </c>
      <c r="E18" s="398"/>
      <c r="F18" s="489"/>
      <c r="G18" s="205">
        <v>20824</v>
      </c>
      <c r="H18" s="204">
        <v>6.91</v>
      </c>
      <c r="I18" s="12"/>
      <c r="J18" s="13"/>
      <c r="K18" s="12"/>
      <c r="L18" s="13"/>
      <c r="M18" s="12"/>
      <c r="N18" s="13"/>
    </row>
    <row r="19" spans="1:14" ht="12.75">
      <c r="A19" s="392" t="s">
        <v>20</v>
      </c>
      <c r="B19" s="81" t="s">
        <v>94</v>
      </c>
      <c r="C19" s="109">
        <v>1500</v>
      </c>
      <c r="D19" s="200">
        <f>(5.66+3.049+0.437+0.015)*1.075*1.2</f>
        <v>11.817689999999999</v>
      </c>
      <c r="E19" s="397">
        <f>155+12</f>
        <v>167</v>
      </c>
      <c r="F19" s="488">
        <v>52.47</v>
      </c>
      <c r="G19" s="206">
        <v>846.5</v>
      </c>
      <c r="H19" s="201">
        <v>56.19</v>
      </c>
      <c r="I19" s="9"/>
      <c r="J19" s="10"/>
      <c r="K19" s="9"/>
      <c r="L19" s="10"/>
      <c r="M19" s="9"/>
      <c r="N19" s="10"/>
    </row>
    <row r="20" spans="1:14" ht="13.5" thickBot="1">
      <c r="A20" s="396"/>
      <c r="B20" s="82" t="s">
        <v>111</v>
      </c>
      <c r="C20" s="202">
        <v>17.25</v>
      </c>
      <c r="D20" s="203">
        <f>49.863*1.075*1.2</f>
        <v>64.32327</v>
      </c>
      <c r="E20" s="398"/>
      <c r="F20" s="489"/>
      <c r="G20" s="205">
        <v>0</v>
      </c>
      <c r="H20" s="204">
        <v>6.91</v>
      </c>
      <c r="I20" s="12"/>
      <c r="J20" s="13"/>
      <c r="K20" s="12"/>
      <c r="L20" s="13"/>
      <c r="M20" s="12"/>
      <c r="N20" s="13"/>
    </row>
    <row r="21" spans="1:14" ht="12.75">
      <c r="A21" s="392" t="s">
        <v>68</v>
      </c>
      <c r="B21" s="81" t="s">
        <v>94</v>
      </c>
      <c r="C21" s="109">
        <v>1560</v>
      </c>
      <c r="D21" s="200">
        <f>(5.66+3.049+0.437+0.015)*1.075*1.2</f>
        <v>11.817689999999999</v>
      </c>
      <c r="E21" s="397">
        <f>158+46</f>
        <v>204</v>
      </c>
      <c r="F21" s="488">
        <v>52.47</v>
      </c>
      <c r="G21" s="206">
        <v>846.5</v>
      </c>
      <c r="H21" s="201">
        <v>56.19</v>
      </c>
      <c r="I21" s="9"/>
      <c r="J21" s="10"/>
      <c r="K21" s="9"/>
      <c r="L21" s="10"/>
      <c r="M21" s="9"/>
      <c r="N21" s="10"/>
    </row>
    <row r="22" spans="1:14" ht="13.5" thickBot="1">
      <c r="A22" s="396"/>
      <c r="B22" s="82" t="s">
        <v>111</v>
      </c>
      <c r="C22" s="202" t="s">
        <v>117</v>
      </c>
      <c r="D22" s="203">
        <f>49.863*1.075*1.2</f>
        <v>64.32327</v>
      </c>
      <c r="E22" s="398"/>
      <c r="F22" s="489"/>
      <c r="G22" s="205">
        <v>0</v>
      </c>
      <c r="H22" s="204">
        <v>6.91</v>
      </c>
      <c r="I22" s="12"/>
      <c r="J22" s="13"/>
      <c r="K22" s="12"/>
      <c r="L22" s="13"/>
      <c r="M22" s="12"/>
      <c r="N22" s="13"/>
    </row>
    <row r="23" spans="1:14" ht="12.75">
      <c r="A23" s="392" t="s">
        <v>69</v>
      </c>
      <c r="B23" s="81" t="s">
        <v>94</v>
      </c>
      <c r="C23" s="109">
        <v>1260</v>
      </c>
      <c r="D23" s="200">
        <f>(5.66+3.049+0.437+0.015)*1.075*1.2</f>
        <v>11.817689999999999</v>
      </c>
      <c r="E23" s="397">
        <f>23+1</f>
        <v>24</v>
      </c>
      <c r="F23" s="485">
        <v>52.47</v>
      </c>
      <c r="G23" s="206">
        <v>846.5</v>
      </c>
      <c r="H23" s="201">
        <v>56.19</v>
      </c>
      <c r="I23" s="9"/>
      <c r="J23" s="10"/>
      <c r="K23" s="9"/>
      <c r="L23" s="10"/>
      <c r="M23" s="9"/>
      <c r="N23" s="10"/>
    </row>
    <row r="24" spans="1:14" ht="13.5" thickBot="1">
      <c r="A24" s="396"/>
      <c r="B24" s="82" t="s">
        <v>111</v>
      </c>
      <c r="C24" s="202" t="s">
        <v>117</v>
      </c>
      <c r="D24" s="203">
        <f>49.863*1.075*1.2</f>
        <v>64.32327</v>
      </c>
      <c r="E24" s="398"/>
      <c r="F24" s="487"/>
      <c r="G24" s="205">
        <v>0</v>
      </c>
      <c r="H24" s="204">
        <v>6.91</v>
      </c>
      <c r="I24" s="12"/>
      <c r="J24" s="13"/>
      <c r="K24" s="12"/>
      <c r="L24" s="13"/>
      <c r="M24" s="12"/>
      <c r="N24" s="13"/>
    </row>
    <row r="25" spans="1:14" ht="15.75" customHeight="1">
      <c r="A25" s="392" t="s">
        <v>22</v>
      </c>
      <c r="B25" s="81" t="s">
        <v>94</v>
      </c>
      <c r="C25" s="109">
        <v>1320</v>
      </c>
      <c r="D25" s="200">
        <f>(5.66+3.049+0.437+0.015)*1.075*1.2</f>
        <v>11.817689999999999</v>
      </c>
      <c r="E25" s="397">
        <f>28+15</f>
        <v>43</v>
      </c>
      <c r="F25" s="485">
        <v>52.47</v>
      </c>
      <c r="G25" s="206">
        <v>846.5</v>
      </c>
      <c r="H25" s="201">
        <v>56.19</v>
      </c>
      <c r="I25" s="12"/>
      <c r="J25" s="13"/>
      <c r="K25" s="12"/>
      <c r="L25" s="13"/>
      <c r="M25" s="12"/>
      <c r="N25" s="13"/>
    </row>
    <row r="26" spans="1:14" ht="15" customHeight="1" thickBot="1">
      <c r="A26" s="396"/>
      <c r="B26" s="82" t="s">
        <v>111</v>
      </c>
      <c r="C26" s="202">
        <v>17.25</v>
      </c>
      <c r="D26" s="203">
        <f>49.863*1.075*1.2</f>
        <v>64.32327</v>
      </c>
      <c r="E26" s="398"/>
      <c r="F26" s="487"/>
      <c r="G26" s="205">
        <v>0</v>
      </c>
      <c r="H26" s="204">
        <v>6.91</v>
      </c>
      <c r="I26" s="4"/>
      <c r="J26" s="5"/>
      <c r="K26" s="4"/>
      <c r="L26" s="5"/>
      <c r="M26" s="4"/>
      <c r="N26" s="5"/>
    </row>
    <row r="27" spans="1:14" ht="12.75">
      <c r="A27" s="392" t="s">
        <v>23</v>
      </c>
      <c r="B27" s="81" t="s">
        <v>94</v>
      </c>
      <c r="C27" s="109">
        <v>1600</v>
      </c>
      <c r="D27" s="200">
        <f>(8.73+3.049+0.437+0.015)*1.075*1.2</f>
        <v>15.777989999999999</v>
      </c>
      <c r="E27" s="397">
        <f>71+37</f>
        <v>108</v>
      </c>
      <c r="F27" s="485">
        <v>58.17</v>
      </c>
      <c r="G27" s="206">
        <v>846.5</v>
      </c>
      <c r="H27" s="201">
        <v>56.19</v>
      </c>
      <c r="I27" s="4"/>
      <c r="J27" s="5"/>
      <c r="K27" s="4"/>
      <c r="L27" s="5"/>
      <c r="M27" s="4"/>
      <c r="N27" s="5"/>
    </row>
    <row r="28" spans="1:14" ht="13.5" thickBot="1">
      <c r="A28" s="396"/>
      <c r="B28" s="82" t="s">
        <v>111</v>
      </c>
      <c r="C28" s="202">
        <v>17.25</v>
      </c>
      <c r="D28" s="203">
        <f>49.863*1.075*1.2</f>
        <v>64.32327</v>
      </c>
      <c r="E28" s="398"/>
      <c r="F28" s="487"/>
      <c r="G28" s="205">
        <v>0</v>
      </c>
      <c r="H28" s="204">
        <v>6.91</v>
      </c>
      <c r="I28" s="4"/>
      <c r="J28" s="5"/>
      <c r="K28" s="4"/>
      <c r="L28" s="5"/>
      <c r="M28" s="4"/>
      <c r="N28" s="5"/>
    </row>
    <row r="29" spans="1:14" ht="12.75">
      <c r="A29" s="392" t="s">
        <v>24</v>
      </c>
      <c r="B29" s="81" t="s">
        <v>94</v>
      </c>
      <c r="C29" s="109">
        <v>1840</v>
      </c>
      <c r="D29" s="200">
        <f>(8.73+3.394+0.437+0.015)*1.075*1.2</f>
        <v>16.223039999999997</v>
      </c>
      <c r="E29" s="397">
        <f>101+60</f>
        <v>161</v>
      </c>
      <c r="F29" s="485">
        <v>58.17</v>
      </c>
      <c r="G29" s="206">
        <v>846.5</v>
      </c>
      <c r="H29" s="201">
        <v>56.19</v>
      </c>
      <c r="I29" s="4"/>
      <c r="J29" s="5"/>
      <c r="K29" s="4"/>
      <c r="L29" s="5"/>
      <c r="M29" s="4"/>
      <c r="N29" s="5"/>
    </row>
    <row r="30" spans="1:14" ht="13.5" thickBot="1">
      <c r="A30" s="396"/>
      <c r="B30" s="82" t="s">
        <v>111</v>
      </c>
      <c r="C30" s="202">
        <v>17.25</v>
      </c>
      <c r="D30" s="203">
        <f>54.258*1.075*1.2</f>
        <v>69.99282</v>
      </c>
      <c r="E30" s="398"/>
      <c r="F30" s="487"/>
      <c r="G30" s="205">
        <v>13035</v>
      </c>
      <c r="H30" s="204">
        <v>6.91</v>
      </c>
      <c r="I30" s="4"/>
      <c r="J30" s="5"/>
      <c r="K30" s="4"/>
      <c r="L30" s="5"/>
      <c r="M30" s="4"/>
      <c r="N30" s="5"/>
    </row>
    <row r="31" spans="1:14" ht="12.75">
      <c r="A31" s="392" t="s">
        <v>25</v>
      </c>
      <c r="B31" s="81" t="s">
        <v>94</v>
      </c>
      <c r="C31" s="109">
        <v>0</v>
      </c>
      <c r="D31" s="200">
        <f>(8.73+3.394+0.437+0.015)*1.075*1.2</f>
        <v>16.223039999999997</v>
      </c>
      <c r="E31" s="397">
        <f>35+16</f>
        <v>51</v>
      </c>
      <c r="F31" s="485">
        <v>58.17</v>
      </c>
      <c r="G31" s="206">
        <v>846.5</v>
      </c>
      <c r="H31" s="201">
        <v>56.19</v>
      </c>
      <c r="I31" s="4"/>
      <c r="J31" s="5"/>
      <c r="K31" s="4"/>
      <c r="L31" s="5"/>
      <c r="M31" s="4"/>
      <c r="N31" s="5"/>
    </row>
    <row r="32" spans="1:14" ht="13.5" thickBot="1">
      <c r="A32" s="396"/>
      <c r="B32" s="82" t="s">
        <v>111</v>
      </c>
      <c r="C32" s="202">
        <v>17.25</v>
      </c>
      <c r="D32" s="203">
        <f>54.258*1.075*1.2</f>
        <v>69.99282</v>
      </c>
      <c r="E32" s="398"/>
      <c r="F32" s="487"/>
      <c r="G32" s="205">
        <v>15963</v>
      </c>
      <c r="H32" s="204">
        <v>6.91</v>
      </c>
      <c r="I32" s="4"/>
      <c r="J32" s="5"/>
      <c r="K32" s="4"/>
      <c r="L32" s="5"/>
      <c r="M32" s="4"/>
      <c r="N32" s="5"/>
    </row>
    <row r="33" spans="1:14" ht="12.75">
      <c r="A33" s="392" t="s">
        <v>26</v>
      </c>
      <c r="B33" s="81" t="s">
        <v>94</v>
      </c>
      <c r="C33" s="279"/>
      <c r="D33" s="275"/>
      <c r="E33" s="397"/>
      <c r="F33" s="485"/>
      <c r="G33" s="206"/>
      <c r="H33" s="201"/>
      <c r="I33" s="9"/>
      <c r="J33" s="10"/>
      <c r="K33" s="9"/>
      <c r="L33" s="10"/>
      <c r="M33" s="9"/>
      <c r="N33" s="10"/>
    </row>
    <row r="34" spans="1:14" ht="13.5" thickBot="1">
      <c r="A34" s="393"/>
      <c r="B34" s="82" t="s">
        <v>111</v>
      </c>
      <c r="C34" s="280"/>
      <c r="D34" s="276"/>
      <c r="E34" s="484"/>
      <c r="F34" s="486"/>
      <c r="G34" s="205"/>
      <c r="H34" s="204"/>
      <c r="I34" s="2"/>
      <c r="J34" s="3"/>
      <c r="K34" s="2"/>
      <c r="L34" s="3"/>
      <c r="M34" s="2"/>
      <c r="N34" s="3"/>
    </row>
    <row r="35" spans="1:14" ht="13.5" thickTop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s="27" customFormat="1" ht="12.75">
      <c r="A36" s="403" t="s">
        <v>32</v>
      </c>
      <c r="B36" s="403"/>
      <c r="C36" s="403"/>
      <c r="D36" s="404"/>
      <c r="E36" s="23"/>
      <c r="F36" s="23"/>
      <c r="G36" s="23"/>
      <c r="H36" s="23"/>
      <c r="I36" s="23"/>
      <c r="J36" s="23"/>
      <c r="K36" s="23"/>
      <c r="L36" s="23"/>
      <c r="M36" s="23"/>
      <c r="N36" s="23"/>
    </row>
    <row r="37" spans="1:14" s="27" customFormat="1" ht="12.75">
      <c r="A37" s="23"/>
      <c r="B37" s="22" t="s">
        <v>33</v>
      </c>
      <c r="C37" s="22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</row>
    <row r="38" spans="1:14" s="27" customFormat="1" ht="12.75">
      <c r="A38" s="23"/>
      <c r="B38" s="403" t="s">
        <v>35</v>
      </c>
      <c r="C38" s="403"/>
      <c r="D38" s="403"/>
      <c r="E38" s="404"/>
      <c r="F38" s="23"/>
      <c r="G38" s="23"/>
      <c r="H38" s="23"/>
      <c r="I38" s="23"/>
      <c r="J38" s="23"/>
      <c r="K38" s="23"/>
      <c r="L38" s="23"/>
      <c r="M38" s="23"/>
      <c r="N38" s="23"/>
    </row>
    <row r="39" spans="1:14" s="27" customFormat="1" ht="12.75">
      <c r="A39" s="23"/>
      <c r="B39" s="403" t="s">
        <v>34</v>
      </c>
      <c r="C39" s="403"/>
      <c r="D39" s="403"/>
      <c r="E39" s="23"/>
      <c r="F39" s="23"/>
      <c r="G39" s="23"/>
      <c r="H39" s="23"/>
      <c r="I39" s="23"/>
      <c r="J39" s="23"/>
      <c r="K39" s="23"/>
      <c r="L39" s="23"/>
      <c r="M39" s="23"/>
      <c r="N39" s="23"/>
    </row>
    <row r="40" spans="1:14" ht="14.25">
      <c r="A40" s="16"/>
      <c r="B40" s="16"/>
      <c r="C40" s="16"/>
      <c r="D40" s="16"/>
      <c r="E40" s="16"/>
      <c r="F40" s="16"/>
      <c r="G40" s="16"/>
      <c r="H40" s="16"/>
      <c r="I40" s="1"/>
      <c r="J40" s="1"/>
      <c r="K40" s="1"/>
      <c r="L40" s="1"/>
      <c r="M40" s="1"/>
      <c r="N40" s="1"/>
    </row>
    <row r="41" spans="1:8" ht="14.25">
      <c r="A41" s="20"/>
      <c r="B41" s="20"/>
      <c r="C41" s="20"/>
      <c r="D41" s="20"/>
      <c r="E41" s="20"/>
      <c r="F41" s="20"/>
      <c r="G41" s="20"/>
      <c r="H41" s="20"/>
    </row>
    <row r="42" spans="1:8" ht="14.25">
      <c r="A42" s="20"/>
      <c r="B42" s="20"/>
      <c r="C42" s="20"/>
      <c r="D42" s="20"/>
      <c r="E42" s="20"/>
      <c r="F42" s="20"/>
      <c r="G42" s="20"/>
      <c r="H42" s="20"/>
    </row>
    <row r="43" spans="1:8" ht="14.25">
      <c r="A43" s="20"/>
      <c r="B43" s="20"/>
      <c r="C43" s="20"/>
      <c r="D43" s="20"/>
      <c r="E43" s="20"/>
      <c r="F43" s="20"/>
      <c r="G43" s="20"/>
      <c r="H43" s="20"/>
    </row>
    <row r="44" spans="1:8" ht="14.25">
      <c r="A44" s="20"/>
      <c r="B44" s="20"/>
      <c r="C44" s="20"/>
      <c r="D44" s="20"/>
      <c r="E44" s="20"/>
      <c r="F44" s="20"/>
      <c r="G44" s="20"/>
      <c r="H44" s="20"/>
    </row>
    <row r="45" spans="1:8" ht="14.25">
      <c r="A45" s="20"/>
      <c r="B45" s="20"/>
      <c r="C45" s="20"/>
      <c r="D45" s="20"/>
      <c r="E45" s="20"/>
      <c r="F45" s="20"/>
      <c r="G45" s="20"/>
      <c r="H45" s="20"/>
    </row>
  </sheetData>
  <sheetProtection/>
  <mergeCells count="52">
    <mergeCell ref="B38:E38"/>
    <mergeCell ref="B39:D39"/>
    <mergeCell ref="I9:J9"/>
    <mergeCell ref="K9:L9"/>
    <mergeCell ref="F9:F10"/>
    <mergeCell ref="G9:H9"/>
    <mergeCell ref="E19:E20"/>
    <mergeCell ref="F19:F20"/>
    <mergeCell ref="E21:E22"/>
    <mergeCell ref="F21:F22"/>
    <mergeCell ref="A6:N7"/>
    <mergeCell ref="A8:A10"/>
    <mergeCell ref="B8:D8"/>
    <mergeCell ref="E8:F8"/>
    <mergeCell ref="G8:N8"/>
    <mergeCell ref="D9:D10"/>
    <mergeCell ref="E9:E10"/>
    <mergeCell ref="B9:C10"/>
    <mergeCell ref="M9:N9"/>
    <mergeCell ref="A36:D36"/>
    <mergeCell ref="A17:A18"/>
    <mergeCell ref="E17:E18"/>
    <mergeCell ref="F17:F18"/>
    <mergeCell ref="A23:A24"/>
    <mergeCell ref="E27:E28"/>
    <mergeCell ref="F27:F28"/>
    <mergeCell ref="A25:A26"/>
    <mergeCell ref="E25:E26"/>
    <mergeCell ref="F31:F32"/>
    <mergeCell ref="A11:A12"/>
    <mergeCell ref="A13:A14"/>
    <mergeCell ref="E11:E12"/>
    <mergeCell ref="F11:F12"/>
    <mergeCell ref="E13:E14"/>
    <mergeCell ref="F13:F14"/>
    <mergeCell ref="F15:F16"/>
    <mergeCell ref="A21:A22"/>
    <mergeCell ref="F23:F24"/>
    <mergeCell ref="A19:A20"/>
    <mergeCell ref="A15:A16"/>
    <mergeCell ref="E15:E16"/>
    <mergeCell ref="A29:A30"/>
    <mergeCell ref="E29:E30"/>
    <mergeCell ref="F25:F26"/>
    <mergeCell ref="E23:E24"/>
    <mergeCell ref="F29:F30"/>
    <mergeCell ref="A27:A28"/>
    <mergeCell ref="A33:A34"/>
    <mergeCell ref="E33:E34"/>
    <mergeCell ref="F33:F34"/>
    <mergeCell ref="A31:A32"/>
    <mergeCell ref="E31:E32"/>
  </mergeCells>
  <printOptions/>
  <pageMargins left="0.23" right="0.2" top="0.37" bottom="0.42" header="0.29" footer="0.31"/>
  <pageSetup horizontalDpi="600" verticalDpi="600" orientation="landscape" paperSize="9" r:id="rId1"/>
  <headerFooter alignWithMargins="0"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O57"/>
  <sheetViews>
    <sheetView zoomScalePageLayoutView="0" workbookViewId="0" topLeftCell="A22">
      <selection activeCell="E44" sqref="E44:E46"/>
    </sheetView>
  </sheetViews>
  <sheetFormatPr defaultColWidth="9.140625" defaultRowHeight="12.75"/>
  <cols>
    <col min="1" max="1" width="17.00390625" style="0" customWidth="1"/>
    <col min="2" max="2" width="7.57421875" style="0" customWidth="1"/>
    <col min="3" max="3" width="14.57421875" style="0" customWidth="1"/>
    <col min="4" max="4" width="6.7109375" style="0" customWidth="1"/>
    <col min="5" max="5" width="12.00390625" style="0" customWidth="1"/>
    <col min="6" max="6" width="6.8515625" style="0" customWidth="1"/>
    <col min="7" max="7" width="11.140625" style="0" customWidth="1"/>
    <col min="8" max="8" width="13.421875" style="0" customWidth="1"/>
    <col min="9" max="9" width="12.00390625" style="0" customWidth="1"/>
    <col min="10" max="10" width="6.421875" style="0" customWidth="1"/>
    <col min="11" max="11" width="12.00390625" style="0" customWidth="1"/>
    <col min="12" max="12" width="6.00390625" style="0" customWidth="1"/>
    <col min="13" max="13" width="12.28125" style="0" customWidth="1"/>
    <col min="14" max="14" width="6.140625" style="0" customWidth="1"/>
  </cols>
  <sheetData>
    <row r="1" spans="1:15" ht="15">
      <c r="A1" s="19" t="s">
        <v>41</v>
      </c>
      <c r="B1" s="17" t="s">
        <v>44</v>
      </c>
      <c r="C1" s="17"/>
      <c r="E1" s="18">
        <v>50789</v>
      </c>
      <c r="F1" s="18"/>
      <c r="G1" s="18"/>
      <c r="H1" s="18"/>
      <c r="I1" s="495" t="s">
        <v>29</v>
      </c>
      <c r="J1" s="495"/>
      <c r="K1" s="495"/>
      <c r="L1" s="28">
        <v>1122</v>
      </c>
      <c r="M1" s="18"/>
      <c r="N1" s="16"/>
      <c r="O1" s="20"/>
    </row>
    <row r="2" spans="1:15" ht="15">
      <c r="A2" s="17" t="s">
        <v>1</v>
      </c>
      <c r="B2" s="17" t="s">
        <v>53</v>
      </c>
      <c r="C2" s="17"/>
      <c r="D2" s="18"/>
      <c r="E2" s="18"/>
      <c r="F2" s="18"/>
      <c r="G2" s="18"/>
      <c r="H2" s="18"/>
      <c r="I2" s="495" t="s">
        <v>2</v>
      </c>
      <c r="J2" s="495"/>
      <c r="K2" s="495"/>
      <c r="L2" s="18">
        <v>9</v>
      </c>
      <c r="M2" s="18"/>
      <c r="N2" s="16"/>
      <c r="O2" s="20"/>
    </row>
    <row r="3" spans="1:15" ht="15">
      <c r="A3" s="17" t="s">
        <v>0</v>
      </c>
      <c r="B3" s="17" t="s">
        <v>38</v>
      </c>
      <c r="C3" s="17"/>
      <c r="D3" s="18"/>
      <c r="E3" s="18"/>
      <c r="F3" s="18"/>
      <c r="G3" s="18"/>
      <c r="H3" s="18"/>
      <c r="I3" s="495" t="s">
        <v>3</v>
      </c>
      <c r="J3" s="495"/>
      <c r="K3" s="495"/>
      <c r="L3" s="18">
        <v>2</v>
      </c>
      <c r="M3" s="18"/>
      <c r="N3" s="16"/>
      <c r="O3" s="20"/>
    </row>
    <row r="4" spans="1:14" ht="15">
      <c r="A4" s="17" t="s">
        <v>4</v>
      </c>
      <c r="B4" s="17">
        <v>212</v>
      </c>
      <c r="C4" s="17"/>
      <c r="D4" s="18"/>
      <c r="E4" s="18"/>
      <c r="F4" s="18"/>
      <c r="G4" s="18"/>
      <c r="H4" s="17" t="s">
        <v>31</v>
      </c>
      <c r="I4" s="17"/>
      <c r="J4" s="17"/>
      <c r="K4" s="33" t="s">
        <v>62</v>
      </c>
      <c r="L4" s="21"/>
      <c r="M4" s="21"/>
      <c r="N4" s="21"/>
    </row>
    <row r="5" spans="1:14" ht="15.75" thickBot="1">
      <c r="A5" s="18"/>
      <c r="B5" s="18"/>
      <c r="C5" s="18"/>
      <c r="D5" s="18"/>
      <c r="E5" s="18"/>
      <c r="F5" s="18"/>
      <c r="G5" s="18"/>
      <c r="H5" s="18"/>
      <c r="I5" s="18"/>
      <c r="J5" s="35"/>
      <c r="K5" s="35" t="s">
        <v>65</v>
      </c>
      <c r="L5" s="35"/>
      <c r="M5" s="16"/>
      <c r="N5" s="20"/>
    </row>
    <row r="6" spans="1:14" ht="13.5" thickTop="1">
      <c r="A6" s="376" t="s">
        <v>5</v>
      </c>
      <c r="B6" s="377"/>
      <c r="C6" s="377"/>
      <c r="D6" s="377"/>
      <c r="E6" s="377"/>
      <c r="F6" s="377"/>
      <c r="G6" s="377"/>
      <c r="H6" s="377"/>
      <c r="I6" s="377"/>
      <c r="J6" s="377"/>
      <c r="K6" s="377"/>
      <c r="L6" s="377"/>
      <c r="M6" s="377"/>
      <c r="N6" s="378"/>
    </row>
    <row r="7" spans="1:14" ht="13.5" thickBot="1">
      <c r="A7" s="379"/>
      <c r="B7" s="380"/>
      <c r="C7" s="380"/>
      <c r="D7" s="380"/>
      <c r="E7" s="380"/>
      <c r="F7" s="380"/>
      <c r="G7" s="380"/>
      <c r="H7" s="380"/>
      <c r="I7" s="380"/>
      <c r="J7" s="380"/>
      <c r="K7" s="380"/>
      <c r="L7" s="380"/>
      <c r="M7" s="380"/>
      <c r="N7" s="381"/>
    </row>
    <row r="8" spans="1:14" ht="16.5" thickBot="1" thickTop="1">
      <c r="A8" s="369" t="s">
        <v>6</v>
      </c>
      <c r="B8" s="357" t="s">
        <v>7</v>
      </c>
      <c r="C8" s="361"/>
      <c r="D8" s="358"/>
      <c r="E8" s="357" t="s">
        <v>11</v>
      </c>
      <c r="F8" s="358"/>
      <c r="G8" s="382" t="s">
        <v>15</v>
      </c>
      <c r="H8" s="383"/>
      <c r="I8" s="383"/>
      <c r="J8" s="383"/>
      <c r="K8" s="383"/>
      <c r="L8" s="383"/>
      <c r="M8" s="383"/>
      <c r="N8" s="384"/>
    </row>
    <row r="9" spans="1:14" ht="13.5" thickTop="1">
      <c r="A9" s="370"/>
      <c r="B9" s="399" t="s">
        <v>8</v>
      </c>
      <c r="C9" s="372"/>
      <c r="D9" s="373" t="s">
        <v>9</v>
      </c>
      <c r="E9" s="466" t="s">
        <v>10</v>
      </c>
      <c r="F9" s="373" t="s">
        <v>9</v>
      </c>
      <c r="G9" s="365" t="s">
        <v>27</v>
      </c>
      <c r="H9" s="366"/>
      <c r="I9" s="375" t="s">
        <v>28</v>
      </c>
      <c r="J9" s="356"/>
      <c r="K9" s="375" t="s">
        <v>13</v>
      </c>
      <c r="L9" s="356"/>
      <c r="M9" s="375" t="s">
        <v>14</v>
      </c>
      <c r="N9" s="356"/>
    </row>
    <row r="10" spans="1:14" ht="15" thickBot="1">
      <c r="A10" s="371"/>
      <c r="B10" s="469"/>
      <c r="C10" s="394"/>
      <c r="D10" s="374"/>
      <c r="E10" s="467"/>
      <c r="F10" s="374"/>
      <c r="G10" s="11" t="s">
        <v>114</v>
      </c>
      <c r="H10" s="3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5.75" customHeight="1" thickTop="1">
      <c r="A11" s="494" t="s">
        <v>16</v>
      </c>
      <c r="B11" s="81" t="s">
        <v>94</v>
      </c>
      <c r="C11" s="185">
        <v>1950</v>
      </c>
      <c r="D11" s="186">
        <f>(6.29+3.187+0.437+0.015)*1.075*1.2</f>
        <v>12.808409999999999</v>
      </c>
      <c r="E11" s="466">
        <f>233</f>
        <v>233</v>
      </c>
      <c r="F11" s="373">
        <v>52.47</v>
      </c>
      <c r="G11" s="15">
        <v>717.85</v>
      </c>
      <c r="H11" s="10">
        <v>56.19</v>
      </c>
      <c r="I11" s="6"/>
      <c r="J11" s="7"/>
      <c r="K11" s="6"/>
      <c r="L11" s="7"/>
      <c r="M11" s="6"/>
      <c r="N11" s="7"/>
    </row>
    <row r="12" spans="1:14" ht="15.75" customHeight="1">
      <c r="A12" s="455"/>
      <c r="B12" s="84" t="s">
        <v>101</v>
      </c>
      <c r="C12" s="89">
        <v>0</v>
      </c>
      <c r="D12" s="187">
        <f>(4.04+0.797+0.437+0.015)*1.075*1.2</f>
        <v>6.82281</v>
      </c>
      <c r="E12" s="473"/>
      <c r="F12" s="478"/>
      <c r="G12" s="482">
        <v>36630</v>
      </c>
      <c r="H12" s="478">
        <v>6.91</v>
      </c>
      <c r="I12" s="6"/>
      <c r="J12" s="7"/>
      <c r="K12" s="6"/>
      <c r="L12" s="7"/>
      <c r="M12" s="6"/>
      <c r="N12" s="7"/>
    </row>
    <row r="13" spans="1:14" ht="15.75" customHeight="1" thickBot="1">
      <c r="A13" s="455"/>
      <c r="B13" s="84" t="s">
        <v>113</v>
      </c>
      <c r="C13" s="149">
        <v>17.25</v>
      </c>
      <c r="D13" s="189">
        <f>49.291*1.075*1.2</f>
        <v>63.58538999999999</v>
      </c>
      <c r="E13" s="473"/>
      <c r="F13" s="478"/>
      <c r="G13" s="483"/>
      <c r="H13" s="364"/>
      <c r="I13" s="6"/>
      <c r="J13" s="7"/>
      <c r="K13" s="6"/>
      <c r="L13" s="7"/>
      <c r="M13" s="6"/>
      <c r="N13" s="7"/>
    </row>
    <row r="14" spans="1:14" ht="15.75" customHeight="1">
      <c r="A14" s="454" t="s">
        <v>17</v>
      </c>
      <c r="B14" s="81" t="s">
        <v>94</v>
      </c>
      <c r="C14" s="168">
        <v>2370</v>
      </c>
      <c r="D14" s="186">
        <f>(6.29+3.485+0.437+0.015)*1.075*1.2</f>
        <v>13.19283</v>
      </c>
      <c r="E14" s="410">
        <v>624</v>
      </c>
      <c r="F14" s="492">
        <v>52.47</v>
      </c>
      <c r="G14" s="15">
        <v>717.85</v>
      </c>
      <c r="H14" s="10">
        <v>56.19</v>
      </c>
      <c r="I14" s="9"/>
      <c r="J14" s="10"/>
      <c r="K14" s="9"/>
      <c r="L14" s="10"/>
      <c r="M14" s="9"/>
      <c r="N14" s="10"/>
    </row>
    <row r="15" spans="1:14" ht="15.75" customHeight="1">
      <c r="A15" s="455"/>
      <c r="B15" s="84" t="s">
        <v>101</v>
      </c>
      <c r="C15" s="92">
        <v>0</v>
      </c>
      <c r="D15" s="187">
        <f>(4.04+0.871+0.437+0.015)*1.075*1.2</f>
        <v>6.918269999999999</v>
      </c>
      <c r="E15" s="345"/>
      <c r="F15" s="493"/>
      <c r="G15" s="482">
        <v>35370</v>
      </c>
      <c r="H15" s="478">
        <v>6.91</v>
      </c>
      <c r="I15" s="6"/>
      <c r="J15" s="7"/>
      <c r="K15" s="6"/>
      <c r="L15" s="7"/>
      <c r="M15" s="6"/>
      <c r="N15" s="7"/>
    </row>
    <row r="16" spans="1:14" ht="15.75" customHeight="1" thickBot="1">
      <c r="A16" s="455"/>
      <c r="B16" s="84" t="s">
        <v>113</v>
      </c>
      <c r="C16" s="92">
        <v>17.25</v>
      </c>
      <c r="D16" s="189">
        <f>49.863*1.075*1.2</f>
        <v>64.32327</v>
      </c>
      <c r="E16" s="345"/>
      <c r="F16" s="493"/>
      <c r="G16" s="483"/>
      <c r="H16" s="364"/>
      <c r="I16" s="6"/>
      <c r="J16" s="7"/>
      <c r="K16" s="6"/>
      <c r="L16" s="7"/>
      <c r="M16" s="6"/>
      <c r="N16" s="7"/>
    </row>
    <row r="17" spans="1:14" ht="15.75" customHeight="1">
      <c r="A17" s="454" t="s">
        <v>18</v>
      </c>
      <c r="B17" s="81" t="s">
        <v>94</v>
      </c>
      <c r="C17" s="168">
        <v>2490</v>
      </c>
      <c r="D17" s="186">
        <f>(6.29+3.485+0.437+0.015)*1.075*1.2</f>
        <v>13.19283</v>
      </c>
      <c r="E17" s="472">
        <v>378</v>
      </c>
      <c r="F17" s="492">
        <v>52.47</v>
      </c>
      <c r="G17" s="15">
        <v>717.85</v>
      </c>
      <c r="H17" s="10">
        <v>56.19</v>
      </c>
      <c r="I17" s="9"/>
      <c r="J17" s="10"/>
      <c r="K17" s="9"/>
      <c r="L17" s="10"/>
      <c r="M17" s="9"/>
      <c r="N17" s="10"/>
    </row>
    <row r="18" spans="1:14" ht="15.75" customHeight="1">
      <c r="A18" s="455"/>
      <c r="B18" s="84" t="s">
        <v>101</v>
      </c>
      <c r="C18" s="92">
        <v>0</v>
      </c>
      <c r="D18" s="187">
        <f>(4.04+0.871+0.437+0.015)*1.075*1.2</f>
        <v>6.918269999999999</v>
      </c>
      <c r="E18" s="473"/>
      <c r="F18" s="493"/>
      <c r="G18" s="474">
        <v>36620</v>
      </c>
      <c r="H18" s="478">
        <v>6.91</v>
      </c>
      <c r="I18" s="6"/>
      <c r="J18" s="7"/>
      <c r="K18" s="6"/>
      <c r="L18" s="7"/>
      <c r="M18" s="6"/>
      <c r="N18" s="7"/>
    </row>
    <row r="19" spans="1:14" ht="15.75" customHeight="1" thickBot="1">
      <c r="A19" s="455"/>
      <c r="B19" s="84" t="s">
        <v>113</v>
      </c>
      <c r="C19" s="92">
        <v>17.25</v>
      </c>
      <c r="D19" s="189">
        <f>49.863*1.075*1.2</f>
        <v>64.32327</v>
      </c>
      <c r="E19" s="473"/>
      <c r="F19" s="493"/>
      <c r="G19" s="475"/>
      <c r="H19" s="364"/>
      <c r="I19" s="6"/>
      <c r="J19" s="7"/>
      <c r="K19" s="6"/>
      <c r="L19" s="7"/>
      <c r="M19" s="6"/>
      <c r="N19" s="7"/>
    </row>
    <row r="20" spans="1:14" ht="15" customHeight="1">
      <c r="A20" s="454" t="s">
        <v>19</v>
      </c>
      <c r="B20" s="81" t="s">
        <v>94</v>
      </c>
      <c r="C20" s="168">
        <v>2730</v>
      </c>
      <c r="D20" s="186">
        <f>(6.29+3.485+0.437+0.015)*1.075*1.2</f>
        <v>13.19283</v>
      </c>
      <c r="E20" s="472">
        <v>60</v>
      </c>
      <c r="F20" s="492">
        <v>52.47</v>
      </c>
      <c r="G20" s="15">
        <v>717.85</v>
      </c>
      <c r="H20" s="10">
        <v>56.19</v>
      </c>
      <c r="I20" s="9"/>
      <c r="J20" s="10"/>
      <c r="K20" s="9"/>
      <c r="L20" s="10"/>
      <c r="M20" s="9"/>
      <c r="N20" s="10"/>
    </row>
    <row r="21" spans="1:14" ht="15" customHeight="1">
      <c r="A21" s="455"/>
      <c r="B21" s="84" t="s">
        <v>101</v>
      </c>
      <c r="C21" s="92">
        <v>0</v>
      </c>
      <c r="D21" s="187">
        <f>(4.04+0.871+0.437+0.015)*1.075*1.2</f>
        <v>6.918269999999999</v>
      </c>
      <c r="E21" s="473"/>
      <c r="F21" s="493"/>
      <c r="G21" s="474">
        <v>24120</v>
      </c>
      <c r="H21" s="478">
        <v>6.91</v>
      </c>
      <c r="I21" s="6"/>
      <c r="J21" s="7"/>
      <c r="K21" s="6"/>
      <c r="L21" s="7"/>
      <c r="M21" s="6"/>
      <c r="N21" s="7"/>
    </row>
    <row r="22" spans="1:14" ht="15" customHeight="1" thickBot="1">
      <c r="A22" s="455"/>
      <c r="B22" s="84" t="s">
        <v>113</v>
      </c>
      <c r="C22" s="92">
        <v>17.25</v>
      </c>
      <c r="D22" s="189">
        <f>49.863*1.075*1.2</f>
        <v>64.32327</v>
      </c>
      <c r="E22" s="473"/>
      <c r="F22" s="493"/>
      <c r="G22" s="475"/>
      <c r="H22" s="364"/>
      <c r="I22" s="6"/>
      <c r="J22" s="7"/>
      <c r="K22" s="6"/>
      <c r="L22" s="7"/>
      <c r="M22" s="6"/>
      <c r="N22" s="7"/>
    </row>
    <row r="23" spans="1:14" ht="12.75">
      <c r="A23" s="454" t="s">
        <v>20</v>
      </c>
      <c r="B23" s="81" t="s">
        <v>94</v>
      </c>
      <c r="C23" s="168">
        <v>1560</v>
      </c>
      <c r="D23" s="186">
        <f>(6.29+3.485+0.437+0.015)*1.075*1.2</f>
        <v>13.19283</v>
      </c>
      <c r="E23" s="472">
        <v>61</v>
      </c>
      <c r="F23" s="492">
        <v>52.47</v>
      </c>
      <c r="G23" s="15">
        <v>717.85</v>
      </c>
      <c r="H23" s="10">
        <v>56.19</v>
      </c>
      <c r="I23" s="9"/>
      <c r="J23" s="10"/>
      <c r="K23" s="9"/>
      <c r="L23" s="10"/>
      <c r="M23" s="9"/>
      <c r="N23" s="10"/>
    </row>
    <row r="24" spans="1:14" ht="12.75">
      <c r="A24" s="455"/>
      <c r="B24" s="84" t="s">
        <v>101</v>
      </c>
      <c r="C24" s="92">
        <v>0</v>
      </c>
      <c r="D24" s="187">
        <f>(4.04+0.871+0.437+0.015)*1.075*1.2</f>
        <v>6.918269999999999</v>
      </c>
      <c r="E24" s="473"/>
      <c r="F24" s="493"/>
      <c r="G24" s="474">
        <v>0</v>
      </c>
      <c r="H24" s="478">
        <v>6.91</v>
      </c>
      <c r="I24" s="6"/>
      <c r="J24" s="7"/>
      <c r="K24" s="6"/>
      <c r="L24" s="7"/>
      <c r="M24" s="6"/>
      <c r="N24" s="7"/>
    </row>
    <row r="25" spans="1:14" ht="13.5" thickBot="1">
      <c r="A25" s="455"/>
      <c r="B25" s="84" t="s">
        <v>113</v>
      </c>
      <c r="C25" s="92">
        <v>17.25</v>
      </c>
      <c r="D25" s="189">
        <f>49.863*1.075*1.2</f>
        <v>64.32327</v>
      </c>
      <c r="E25" s="473"/>
      <c r="F25" s="493"/>
      <c r="G25" s="475"/>
      <c r="H25" s="364"/>
      <c r="I25" s="6"/>
      <c r="J25" s="7"/>
      <c r="K25" s="6"/>
      <c r="L25" s="7"/>
      <c r="M25" s="6"/>
      <c r="N25" s="7"/>
    </row>
    <row r="26" spans="1:14" ht="12.75">
      <c r="A26" s="454" t="s">
        <v>68</v>
      </c>
      <c r="B26" s="81" t="s">
        <v>94</v>
      </c>
      <c r="C26" s="168">
        <v>1710</v>
      </c>
      <c r="D26" s="186">
        <f>(6.29+3.485+0.437+0.015)*1.075*1.2</f>
        <v>13.19283</v>
      </c>
      <c r="E26" s="472">
        <v>84</v>
      </c>
      <c r="F26" s="492">
        <v>52.47</v>
      </c>
      <c r="G26" s="15">
        <v>717.85</v>
      </c>
      <c r="H26" s="10">
        <v>56.19</v>
      </c>
      <c r="I26" s="9"/>
      <c r="J26" s="10"/>
      <c r="K26" s="9"/>
      <c r="L26" s="10"/>
      <c r="M26" s="9"/>
      <c r="N26" s="10"/>
    </row>
    <row r="27" spans="1:14" ht="12.75">
      <c r="A27" s="455"/>
      <c r="B27" s="84" t="s">
        <v>101</v>
      </c>
      <c r="C27" s="92">
        <v>0</v>
      </c>
      <c r="D27" s="187">
        <f>(4.04+0.871+0.437+0.015)*1.075*1.2</f>
        <v>6.918269999999999</v>
      </c>
      <c r="E27" s="473"/>
      <c r="F27" s="493"/>
      <c r="G27" s="474">
        <v>0</v>
      </c>
      <c r="H27" s="478">
        <v>6.91</v>
      </c>
      <c r="I27" s="6"/>
      <c r="J27" s="7"/>
      <c r="K27" s="6"/>
      <c r="L27" s="7"/>
      <c r="M27" s="6"/>
      <c r="N27" s="7"/>
    </row>
    <row r="28" spans="1:14" ht="13.5" thickBot="1">
      <c r="A28" s="455"/>
      <c r="B28" s="84" t="s">
        <v>113</v>
      </c>
      <c r="C28" s="92">
        <v>17.25</v>
      </c>
      <c r="D28" s="189">
        <f>49.863*1.075*1.2</f>
        <v>64.32327</v>
      </c>
      <c r="E28" s="473"/>
      <c r="F28" s="493"/>
      <c r="G28" s="475"/>
      <c r="H28" s="364"/>
      <c r="I28" s="6"/>
      <c r="J28" s="7"/>
      <c r="K28" s="6"/>
      <c r="L28" s="7"/>
      <c r="M28" s="6"/>
      <c r="N28" s="7"/>
    </row>
    <row r="29" spans="1:14" ht="12.75">
      <c r="A29" s="454" t="s">
        <v>69</v>
      </c>
      <c r="B29" s="81" t="s">
        <v>94</v>
      </c>
      <c r="C29" s="168">
        <v>1560</v>
      </c>
      <c r="D29" s="186">
        <f>(6.29+3.485+0.437+0.015)*1.075*1.2</f>
        <v>13.19283</v>
      </c>
      <c r="E29" s="472">
        <v>46</v>
      </c>
      <c r="F29" s="363">
        <v>52.47</v>
      </c>
      <c r="G29" s="15">
        <v>717.85</v>
      </c>
      <c r="H29" s="10">
        <v>56.19</v>
      </c>
      <c r="I29" s="9"/>
      <c r="J29" s="10"/>
      <c r="K29" s="9"/>
      <c r="L29" s="10"/>
      <c r="M29" s="9"/>
      <c r="N29" s="10"/>
    </row>
    <row r="30" spans="1:14" ht="12.75">
      <c r="A30" s="455"/>
      <c r="B30" s="84" t="s">
        <v>101</v>
      </c>
      <c r="C30" s="92">
        <v>0</v>
      </c>
      <c r="D30" s="187">
        <f>(4.04+0.871+0.437+0.015)*1.075*1.2</f>
        <v>6.918269999999999</v>
      </c>
      <c r="E30" s="473"/>
      <c r="F30" s="478"/>
      <c r="G30" s="474">
        <v>0</v>
      </c>
      <c r="H30" s="478">
        <v>6.91</v>
      </c>
      <c r="I30" s="6"/>
      <c r="J30" s="7"/>
      <c r="K30" s="6"/>
      <c r="L30" s="7"/>
      <c r="M30" s="6"/>
      <c r="N30" s="7"/>
    </row>
    <row r="31" spans="1:14" ht="13.5" thickBot="1">
      <c r="A31" s="455"/>
      <c r="B31" s="84" t="s">
        <v>113</v>
      </c>
      <c r="C31" s="92">
        <v>17.25</v>
      </c>
      <c r="D31" s="189">
        <f>49.863*1.075*1.2</f>
        <v>64.32327</v>
      </c>
      <c r="E31" s="473"/>
      <c r="F31" s="478"/>
      <c r="G31" s="475"/>
      <c r="H31" s="364"/>
      <c r="I31" s="6"/>
      <c r="J31" s="7"/>
      <c r="K31" s="6"/>
      <c r="L31" s="7"/>
      <c r="M31" s="6"/>
      <c r="N31" s="7"/>
    </row>
    <row r="32" spans="1:14" ht="12.75">
      <c r="A32" s="454" t="s">
        <v>22</v>
      </c>
      <c r="B32" s="86" t="s">
        <v>94</v>
      </c>
      <c r="C32" s="168">
        <v>1620</v>
      </c>
      <c r="D32" s="186">
        <f>(6.29+3.485+0.437+0.015)*1.075*1.2</f>
        <v>13.19283</v>
      </c>
      <c r="E32" s="472">
        <f>50</f>
        <v>50</v>
      </c>
      <c r="F32" s="363">
        <v>52.47</v>
      </c>
      <c r="G32" s="15">
        <v>717.85</v>
      </c>
      <c r="H32" s="10">
        <v>56.19</v>
      </c>
      <c r="I32" s="12"/>
      <c r="J32" s="13"/>
      <c r="K32" s="12"/>
      <c r="L32" s="13"/>
      <c r="M32" s="12"/>
      <c r="N32" s="13"/>
    </row>
    <row r="33" spans="1:14" ht="12.75">
      <c r="A33" s="455"/>
      <c r="B33" s="82" t="s">
        <v>95</v>
      </c>
      <c r="C33" s="92">
        <v>0</v>
      </c>
      <c r="D33" s="187">
        <f>(4.04+0.871+0.437+0.015)*1.075*1.2</f>
        <v>6.918269999999999</v>
      </c>
      <c r="E33" s="473"/>
      <c r="F33" s="478"/>
      <c r="G33" s="474">
        <v>0</v>
      </c>
      <c r="H33" s="478">
        <v>6.91</v>
      </c>
      <c r="I33" s="12"/>
      <c r="J33" s="13"/>
      <c r="K33" s="12"/>
      <c r="L33" s="13"/>
      <c r="M33" s="12"/>
      <c r="N33" s="13"/>
    </row>
    <row r="34" spans="1:14" ht="13.5" thickBot="1">
      <c r="A34" s="455"/>
      <c r="B34" s="86" t="s">
        <v>113</v>
      </c>
      <c r="C34" s="92">
        <v>17.25</v>
      </c>
      <c r="D34" s="189">
        <f>49.863*1.075*1.2</f>
        <v>64.32327</v>
      </c>
      <c r="E34" s="473"/>
      <c r="F34" s="478"/>
      <c r="G34" s="475"/>
      <c r="H34" s="364"/>
      <c r="I34" s="12"/>
      <c r="J34" s="13"/>
      <c r="K34" s="12"/>
      <c r="L34" s="13"/>
      <c r="M34" s="12"/>
      <c r="N34" s="13"/>
    </row>
    <row r="35" spans="1:14" ht="12.75">
      <c r="A35" s="454" t="s">
        <v>23</v>
      </c>
      <c r="B35" s="86" t="s">
        <v>94</v>
      </c>
      <c r="C35" s="168">
        <v>1890</v>
      </c>
      <c r="D35" s="186">
        <f>(9.7+3.485+0.437+0.015)*1.075*1.2</f>
        <v>17.59173</v>
      </c>
      <c r="E35" s="496">
        <f>80</f>
        <v>80</v>
      </c>
      <c r="F35" s="363">
        <v>58.17</v>
      </c>
      <c r="G35" s="15">
        <v>717.85</v>
      </c>
      <c r="H35" s="10">
        <v>56.19</v>
      </c>
      <c r="I35" s="4"/>
      <c r="J35" s="5"/>
      <c r="K35" s="4"/>
      <c r="L35" s="5"/>
      <c r="M35" s="4"/>
      <c r="N35" s="5"/>
    </row>
    <row r="36" spans="1:14" ht="15" customHeight="1">
      <c r="A36" s="455"/>
      <c r="B36" s="82" t="s">
        <v>95</v>
      </c>
      <c r="C36" s="92">
        <v>0</v>
      </c>
      <c r="D36" s="187">
        <f>(6.15+0.871+0.437+0.015)*1.075*1.2</f>
        <v>9.640170000000001</v>
      </c>
      <c r="E36" s="497"/>
      <c r="F36" s="478"/>
      <c r="G36" s="474">
        <v>0</v>
      </c>
      <c r="H36" s="478">
        <v>6.91</v>
      </c>
      <c r="I36" s="4"/>
      <c r="J36" s="5"/>
      <c r="K36" s="4"/>
      <c r="L36" s="5"/>
      <c r="M36" s="4"/>
      <c r="N36" s="5"/>
    </row>
    <row r="37" spans="1:14" ht="15" customHeight="1" thickBot="1">
      <c r="A37" s="455"/>
      <c r="B37" s="86" t="s">
        <v>94</v>
      </c>
      <c r="C37" s="92">
        <v>17.25</v>
      </c>
      <c r="D37" s="189">
        <f>49.863*1.075*1.2</f>
        <v>64.32327</v>
      </c>
      <c r="E37" s="497"/>
      <c r="F37" s="478"/>
      <c r="G37" s="475"/>
      <c r="H37" s="364"/>
      <c r="I37" s="4"/>
      <c r="J37" s="5"/>
      <c r="K37" s="4"/>
      <c r="L37" s="5"/>
      <c r="M37" s="4"/>
      <c r="N37" s="5"/>
    </row>
    <row r="38" spans="1:14" ht="12.75">
      <c r="A38" s="454" t="s">
        <v>24</v>
      </c>
      <c r="B38" s="86" t="s">
        <v>94</v>
      </c>
      <c r="C38" s="168">
        <v>2910</v>
      </c>
      <c r="D38" s="186">
        <f>(9.7+3.879+0.437+0.015)*1.075*1.2</f>
        <v>18.09999</v>
      </c>
      <c r="E38" s="472">
        <v>50</v>
      </c>
      <c r="F38" s="363">
        <v>58.17</v>
      </c>
      <c r="G38" s="15">
        <v>717.85</v>
      </c>
      <c r="H38" s="10">
        <v>56.19</v>
      </c>
      <c r="I38" s="4"/>
      <c r="J38" s="5"/>
      <c r="K38" s="4"/>
      <c r="L38" s="5"/>
      <c r="M38" s="4"/>
      <c r="N38" s="5"/>
    </row>
    <row r="39" spans="1:14" ht="15" customHeight="1" thickBot="1">
      <c r="A39" s="455"/>
      <c r="B39" s="87" t="s">
        <v>95</v>
      </c>
      <c r="C39" s="92">
        <v>0</v>
      </c>
      <c r="D39" s="187">
        <f>(6.15+0.97+0.437+0.015)*1.075*1.2</f>
        <v>9.767879999999998</v>
      </c>
      <c r="E39" s="473"/>
      <c r="F39" s="478"/>
      <c r="G39" s="474">
        <v>14760</v>
      </c>
      <c r="H39" s="478">
        <v>6.91</v>
      </c>
      <c r="I39" s="4"/>
      <c r="J39" s="5"/>
      <c r="K39" s="4"/>
      <c r="L39" s="5"/>
      <c r="M39" s="4"/>
      <c r="N39" s="5"/>
    </row>
    <row r="40" spans="1:14" ht="15" customHeight="1" thickBot="1">
      <c r="A40" s="455"/>
      <c r="B40" s="86" t="s">
        <v>94</v>
      </c>
      <c r="C40" s="92">
        <v>17.25</v>
      </c>
      <c r="D40" s="189">
        <f>54.258*1.075*1.2</f>
        <v>69.99282</v>
      </c>
      <c r="E40" s="473"/>
      <c r="F40" s="478"/>
      <c r="G40" s="475"/>
      <c r="H40" s="364"/>
      <c r="I40" s="4"/>
      <c r="J40" s="5"/>
      <c r="K40" s="4"/>
      <c r="L40" s="5"/>
      <c r="M40" s="4"/>
      <c r="N40" s="5"/>
    </row>
    <row r="41" spans="1:14" ht="12.75">
      <c r="A41" s="454" t="s">
        <v>25</v>
      </c>
      <c r="B41" s="86" t="s">
        <v>94</v>
      </c>
      <c r="C41" s="168">
        <v>2940</v>
      </c>
      <c r="D41" s="186">
        <f>(9.7+3.879+0.437+0.015)*1.075*1.2</f>
        <v>18.09999</v>
      </c>
      <c r="E41" s="472">
        <v>167</v>
      </c>
      <c r="F41" s="363">
        <v>58.17</v>
      </c>
      <c r="G41" s="15">
        <v>717.85</v>
      </c>
      <c r="H41" s="10">
        <v>56.19</v>
      </c>
      <c r="I41" s="4"/>
      <c r="J41" s="5"/>
      <c r="K41" s="4"/>
      <c r="L41" s="5"/>
      <c r="M41" s="4"/>
      <c r="N41" s="5"/>
    </row>
    <row r="42" spans="1:14" ht="15" customHeight="1" thickBot="1">
      <c r="A42" s="455"/>
      <c r="B42" s="87" t="s">
        <v>95</v>
      </c>
      <c r="C42" s="92">
        <v>0</v>
      </c>
      <c r="D42" s="187">
        <f>(6.15+0.97+0.437+0.015)*1.075*1.2</f>
        <v>9.767879999999998</v>
      </c>
      <c r="E42" s="473"/>
      <c r="F42" s="478"/>
      <c r="G42" s="474">
        <v>28440</v>
      </c>
      <c r="H42" s="478">
        <v>6.91</v>
      </c>
      <c r="I42" s="4"/>
      <c r="J42" s="5"/>
      <c r="K42" s="4"/>
      <c r="L42" s="5"/>
      <c r="M42" s="4"/>
      <c r="N42" s="5"/>
    </row>
    <row r="43" spans="1:14" ht="15" customHeight="1" thickBot="1">
      <c r="A43" s="455"/>
      <c r="B43" s="86" t="s">
        <v>94</v>
      </c>
      <c r="C43" s="92">
        <v>17.25</v>
      </c>
      <c r="D43" s="189">
        <f>54.258*1.075*1.2</f>
        <v>69.99282</v>
      </c>
      <c r="E43" s="473"/>
      <c r="F43" s="478"/>
      <c r="G43" s="475"/>
      <c r="H43" s="364"/>
      <c r="I43" s="9"/>
      <c r="J43" s="10"/>
      <c r="K43" s="9"/>
      <c r="L43" s="10"/>
      <c r="M43" s="9"/>
      <c r="N43" s="10"/>
    </row>
    <row r="44" spans="1:14" ht="12.75">
      <c r="A44" s="458" t="s">
        <v>26</v>
      </c>
      <c r="B44" s="159" t="s">
        <v>94</v>
      </c>
      <c r="C44" s="67"/>
      <c r="D44" s="209"/>
      <c r="E44" s="498"/>
      <c r="F44" s="500"/>
      <c r="G44" s="15"/>
      <c r="H44" s="10"/>
      <c r="I44" s="144"/>
      <c r="J44" s="145"/>
      <c r="K44" s="144"/>
      <c r="L44" s="145"/>
      <c r="M44" s="144"/>
      <c r="N44" s="145"/>
    </row>
    <row r="45" spans="1:14" ht="15" customHeight="1" thickBot="1">
      <c r="A45" s="459"/>
      <c r="B45" s="161" t="s">
        <v>95</v>
      </c>
      <c r="C45" s="68"/>
      <c r="D45" s="210"/>
      <c r="E45" s="464"/>
      <c r="F45" s="478"/>
      <c r="G45" s="474"/>
      <c r="H45" s="478"/>
      <c r="I45" s="163"/>
      <c r="J45" s="101"/>
      <c r="K45" s="163"/>
      <c r="L45" s="101"/>
      <c r="M45" s="163"/>
      <c r="N45" s="101"/>
    </row>
    <row r="46" spans="1:14" ht="15" customHeight="1" thickBot="1">
      <c r="A46" s="460"/>
      <c r="B46" s="162" t="s">
        <v>94</v>
      </c>
      <c r="C46" s="118"/>
      <c r="D46" s="118"/>
      <c r="E46" s="499"/>
      <c r="F46" s="501"/>
      <c r="G46" s="475"/>
      <c r="H46" s="364"/>
      <c r="I46" s="164"/>
      <c r="J46" s="102"/>
      <c r="K46" s="164"/>
      <c r="L46" s="102"/>
      <c r="M46" s="164"/>
      <c r="N46" s="102"/>
    </row>
    <row r="47" spans="1:14" ht="12.75">
      <c r="A47" s="1"/>
      <c r="B47" s="1"/>
      <c r="C47" s="1"/>
      <c r="D47" s="1"/>
      <c r="E47" s="1"/>
      <c r="F47" s="1"/>
      <c r="G47" s="23"/>
      <c r="H47" s="23"/>
      <c r="I47" s="1"/>
      <c r="J47" s="1"/>
      <c r="K47" s="1"/>
      <c r="L47" s="1"/>
      <c r="M47" s="1"/>
      <c r="N47" s="1"/>
    </row>
    <row r="48" spans="1:14" s="27" customFormat="1" ht="12.75">
      <c r="A48" s="403" t="s">
        <v>32</v>
      </c>
      <c r="B48" s="403"/>
      <c r="C48" s="403"/>
      <c r="D48" s="404"/>
      <c r="E48" s="23"/>
      <c r="F48" s="23"/>
      <c r="G48" s="23"/>
      <c r="H48" s="23"/>
      <c r="I48" s="23"/>
      <c r="J48" s="23"/>
      <c r="K48" s="23"/>
      <c r="L48" s="23"/>
      <c r="M48" s="23"/>
      <c r="N48" s="23"/>
    </row>
    <row r="49" spans="1:14" s="27" customFormat="1" ht="12.75">
      <c r="A49" s="23"/>
      <c r="B49" s="22" t="s">
        <v>33</v>
      </c>
      <c r="C49" s="22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</row>
    <row r="50" spans="1:14" s="27" customFormat="1" ht="12.75">
      <c r="A50" s="23"/>
      <c r="B50" s="403" t="s">
        <v>35</v>
      </c>
      <c r="C50" s="403"/>
      <c r="D50" s="403"/>
      <c r="E50" s="404"/>
      <c r="F50" s="23"/>
      <c r="G50" s="23"/>
      <c r="H50" s="23"/>
      <c r="I50" s="23"/>
      <c r="J50" s="23"/>
      <c r="K50" s="23"/>
      <c r="L50" s="23"/>
      <c r="M50" s="23"/>
      <c r="N50" s="23"/>
    </row>
    <row r="51" spans="1:14" s="27" customFormat="1" ht="12.75">
      <c r="A51" s="23"/>
      <c r="B51" s="403" t="s">
        <v>34</v>
      </c>
      <c r="C51" s="403"/>
      <c r="D51" s="403"/>
      <c r="E51" s="23"/>
      <c r="F51" s="23"/>
      <c r="G51" s="23"/>
      <c r="H51" s="23"/>
      <c r="I51" s="23"/>
      <c r="J51" s="23"/>
      <c r="K51" s="23"/>
      <c r="L51" s="23"/>
      <c r="M51" s="23"/>
      <c r="N51" s="23"/>
    </row>
    <row r="52" spans="1:14" s="27" customFormat="1" ht="14.25">
      <c r="A52" s="23"/>
      <c r="B52" s="23"/>
      <c r="C52" s="23"/>
      <c r="D52" s="23"/>
      <c r="E52" s="23"/>
      <c r="F52" s="23"/>
      <c r="G52" s="20"/>
      <c r="H52"/>
      <c r="I52" s="23"/>
      <c r="J52" s="23"/>
      <c r="K52" s="23"/>
      <c r="L52" s="23"/>
      <c r="M52" s="23"/>
      <c r="N52" s="23"/>
    </row>
    <row r="53" spans="1:7" ht="14.25">
      <c r="A53" s="20"/>
      <c r="B53" s="20"/>
      <c r="C53" s="20"/>
      <c r="D53" s="20"/>
      <c r="E53" s="20"/>
      <c r="F53" s="20"/>
      <c r="G53" s="20"/>
    </row>
    <row r="54" spans="1:7" ht="14.25">
      <c r="A54" s="20"/>
      <c r="B54" s="20"/>
      <c r="C54" s="20"/>
      <c r="D54" s="20"/>
      <c r="E54" s="20"/>
      <c r="F54" s="20"/>
      <c r="G54" s="20"/>
    </row>
    <row r="55" spans="1:7" ht="14.25">
      <c r="A55" s="20"/>
      <c r="B55" s="20"/>
      <c r="C55" s="20"/>
      <c r="D55" s="20"/>
      <c r="E55" s="20"/>
      <c r="F55" s="20"/>
      <c r="G55" s="20"/>
    </row>
    <row r="56" spans="1:7" ht="14.25">
      <c r="A56" s="20"/>
      <c r="B56" s="20"/>
      <c r="C56" s="20"/>
      <c r="D56" s="20"/>
      <c r="E56" s="20"/>
      <c r="F56" s="20"/>
      <c r="G56" s="20"/>
    </row>
    <row r="57" spans="1:6" ht="14.25">
      <c r="A57" s="20"/>
      <c r="B57" s="20"/>
      <c r="C57" s="20"/>
      <c r="D57" s="20"/>
      <c r="E57" s="20"/>
      <c r="F57" s="20"/>
    </row>
  </sheetData>
  <sheetProtection/>
  <mergeCells count="79">
    <mergeCell ref="F38:F40"/>
    <mergeCell ref="G45:G46"/>
    <mergeCell ref="F41:F43"/>
    <mergeCell ref="G39:G40"/>
    <mergeCell ref="F44:F46"/>
    <mergeCell ref="H39:H40"/>
    <mergeCell ref="G42:G43"/>
    <mergeCell ref="H42:H43"/>
    <mergeCell ref="H45:H46"/>
    <mergeCell ref="F23:F25"/>
    <mergeCell ref="A26:A28"/>
    <mergeCell ref="B51:D51"/>
    <mergeCell ref="A48:D48"/>
    <mergeCell ref="E35:E37"/>
    <mergeCell ref="A41:A43"/>
    <mergeCell ref="E41:E43"/>
    <mergeCell ref="E44:E46"/>
    <mergeCell ref="A44:A46"/>
    <mergeCell ref="A38:A40"/>
    <mergeCell ref="E38:E40"/>
    <mergeCell ref="A35:A37"/>
    <mergeCell ref="A14:A16"/>
    <mergeCell ref="A32:A34"/>
    <mergeCell ref="A23:A25"/>
    <mergeCell ref="E23:E25"/>
    <mergeCell ref="F14:F16"/>
    <mergeCell ref="E26:E28"/>
    <mergeCell ref="B50:E50"/>
    <mergeCell ref="A20:A22"/>
    <mergeCell ref="A17:A19"/>
    <mergeCell ref="E17:E19"/>
    <mergeCell ref="A29:A31"/>
    <mergeCell ref="E29:E31"/>
    <mergeCell ref="F29:F31"/>
    <mergeCell ref="E32:E34"/>
    <mergeCell ref="B9:C10"/>
    <mergeCell ref="F11:F13"/>
    <mergeCell ref="G12:G13"/>
    <mergeCell ref="H12:H13"/>
    <mergeCell ref="E11:E13"/>
    <mergeCell ref="M9:N9"/>
    <mergeCell ref="E9:E10"/>
    <mergeCell ref="F9:F10"/>
    <mergeCell ref="G9:H9"/>
    <mergeCell ref="H15:H16"/>
    <mergeCell ref="A11:A13"/>
    <mergeCell ref="I1:K1"/>
    <mergeCell ref="I2:K2"/>
    <mergeCell ref="I3:K3"/>
    <mergeCell ref="K9:L9"/>
    <mergeCell ref="A6:N7"/>
    <mergeCell ref="A8:A10"/>
    <mergeCell ref="B8:D8"/>
    <mergeCell ref="E8:F8"/>
    <mergeCell ref="H33:H34"/>
    <mergeCell ref="I9:J9"/>
    <mergeCell ref="G8:N8"/>
    <mergeCell ref="D9:D10"/>
    <mergeCell ref="E20:E22"/>
    <mergeCell ref="F20:F22"/>
    <mergeCell ref="G18:G19"/>
    <mergeCell ref="F17:F19"/>
    <mergeCell ref="E14:E16"/>
    <mergeCell ref="G15:G16"/>
    <mergeCell ref="H18:H19"/>
    <mergeCell ref="G21:G22"/>
    <mergeCell ref="H21:H22"/>
    <mergeCell ref="G24:G25"/>
    <mergeCell ref="H24:H25"/>
    <mergeCell ref="F35:F37"/>
    <mergeCell ref="G36:G37"/>
    <mergeCell ref="H27:H28"/>
    <mergeCell ref="F26:F28"/>
    <mergeCell ref="F32:F34"/>
    <mergeCell ref="G27:G28"/>
    <mergeCell ref="H30:H31"/>
    <mergeCell ref="G30:G31"/>
    <mergeCell ref="H36:H37"/>
    <mergeCell ref="G33:G34"/>
  </mergeCells>
  <printOptions/>
  <pageMargins left="0.29" right="0.2" top="0.43" bottom="0.53" header="0.5" footer="0.28"/>
  <pageSetup horizontalDpi="600" verticalDpi="600" orientation="landscape" paperSize="9" r:id="rId1"/>
  <headerFooter alignWithMargins="0">
    <oddFooter>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O43"/>
  <sheetViews>
    <sheetView zoomScalePageLayoutView="0" workbookViewId="0" topLeftCell="A10">
      <selection activeCell="E33" sqref="E33:E34"/>
    </sheetView>
  </sheetViews>
  <sheetFormatPr defaultColWidth="9.140625" defaultRowHeight="12.75"/>
  <cols>
    <col min="1" max="1" width="18.140625" style="0" customWidth="1"/>
    <col min="2" max="2" width="6.421875" style="0" customWidth="1"/>
    <col min="3" max="3" width="14.00390625" style="0" customWidth="1"/>
    <col min="4" max="4" width="7.00390625" style="0" customWidth="1"/>
    <col min="5" max="5" width="13.140625" style="0" customWidth="1"/>
    <col min="6" max="6" width="6.7109375" style="0" customWidth="1"/>
    <col min="7" max="7" width="12.28125" style="0" customWidth="1"/>
    <col min="8" max="8" width="11.421875" style="0" customWidth="1"/>
    <col min="9" max="9" width="10.8515625" style="0" customWidth="1"/>
    <col min="10" max="10" width="5.7109375" style="0" customWidth="1"/>
    <col min="11" max="11" width="12.57421875" style="0" customWidth="1"/>
    <col min="12" max="12" width="5.8515625" style="0" customWidth="1"/>
    <col min="13" max="13" width="12.00390625" style="0" customWidth="1"/>
    <col min="14" max="14" width="7.140625" style="0" customWidth="1"/>
  </cols>
  <sheetData>
    <row r="1" spans="1:14" s="24" customFormat="1" ht="15">
      <c r="A1" s="19" t="s">
        <v>41</v>
      </c>
      <c r="B1" s="19" t="s">
        <v>40</v>
      </c>
      <c r="C1" s="19"/>
      <c r="E1" s="18">
        <v>50086</v>
      </c>
      <c r="F1" s="18"/>
      <c r="G1" s="18"/>
      <c r="H1" s="18"/>
      <c r="I1" s="495" t="s">
        <v>29</v>
      </c>
      <c r="J1" s="495"/>
      <c r="K1" s="495"/>
      <c r="L1" s="28">
        <v>1166</v>
      </c>
      <c r="M1" s="18"/>
      <c r="N1" s="18"/>
    </row>
    <row r="2" spans="1:14" s="24" customFormat="1" ht="15">
      <c r="A2" s="17" t="s">
        <v>1</v>
      </c>
      <c r="B2" s="19" t="s">
        <v>93</v>
      </c>
      <c r="C2" s="19"/>
      <c r="D2" s="18"/>
      <c r="E2" s="18"/>
      <c r="F2" s="18"/>
      <c r="G2" s="18"/>
      <c r="H2" s="18"/>
      <c r="I2" s="495" t="s">
        <v>2</v>
      </c>
      <c r="J2" s="495"/>
      <c r="K2" s="495"/>
      <c r="L2" s="18">
        <v>9</v>
      </c>
      <c r="M2" s="18"/>
      <c r="N2" s="18"/>
    </row>
    <row r="3" spans="1:14" s="24" customFormat="1" ht="15">
      <c r="A3" s="17" t="s">
        <v>0</v>
      </c>
      <c r="B3" s="19" t="s">
        <v>38</v>
      </c>
      <c r="C3" s="19"/>
      <c r="D3" s="18"/>
      <c r="E3" s="18"/>
      <c r="F3" s="18"/>
      <c r="G3" s="18"/>
      <c r="H3" s="18"/>
      <c r="I3" s="495" t="s">
        <v>3</v>
      </c>
      <c r="J3" s="495"/>
      <c r="K3" s="495"/>
      <c r="L3" s="18" t="s">
        <v>49</v>
      </c>
      <c r="M3" s="18"/>
      <c r="N3" s="18"/>
    </row>
    <row r="4" spans="1:15" s="24" customFormat="1" ht="15">
      <c r="A4" s="17" t="s">
        <v>4</v>
      </c>
      <c r="B4" s="17">
        <v>193</v>
      </c>
      <c r="C4" s="17"/>
      <c r="D4" s="18"/>
      <c r="E4" s="18"/>
      <c r="F4" s="18"/>
      <c r="G4" s="18"/>
      <c r="H4" s="18"/>
      <c r="I4" s="17" t="s">
        <v>108</v>
      </c>
      <c r="J4" s="17"/>
      <c r="K4" s="17"/>
      <c r="L4" s="33" t="s">
        <v>109</v>
      </c>
      <c r="M4" s="21"/>
      <c r="N4" s="21"/>
      <c r="O4" s="21"/>
    </row>
    <row r="5" spans="1:14" ht="15" thickBot="1">
      <c r="A5" s="1"/>
      <c r="B5" s="1"/>
      <c r="C5" s="1"/>
      <c r="D5" s="1"/>
      <c r="E5" s="1"/>
      <c r="F5" s="1"/>
      <c r="G5" s="1"/>
      <c r="H5" s="1"/>
      <c r="I5" s="1"/>
      <c r="J5" s="1"/>
      <c r="K5" s="35"/>
      <c r="L5" s="35" t="s">
        <v>65</v>
      </c>
      <c r="M5" s="35"/>
      <c r="N5" s="1"/>
    </row>
    <row r="6" spans="1:14" ht="13.5" thickTop="1">
      <c r="A6" s="376" t="s">
        <v>5</v>
      </c>
      <c r="B6" s="377"/>
      <c r="C6" s="377"/>
      <c r="D6" s="377"/>
      <c r="E6" s="377"/>
      <c r="F6" s="377"/>
      <c r="G6" s="377"/>
      <c r="H6" s="377"/>
      <c r="I6" s="377"/>
      <c r="J6" s="377"/>
      <c r="K6" s="377"/>
      <c r="L6" s="377"/>
      <c r="M6" s="377"/>
      <c r="N6" s="378"/>
    </row>
    <row r="7" spans="1:14" ht="13.5" thickBot="1">
      <c r="A7" s="379"/>
      <c r="B7" s="380"/>
      <c r="C7" s="380"/>
      <c r="D7" s="380"/>
      <c r="E7" s="380"/>
      <c r="F7" s="380"/>
      <c r="G7" s="380"/>
      <c r="H7" s="380"/>
      <c r="I7" s="380"/>
      <c r="J7" s="380"/>
      <c r="K7" s="380"/>
      <c r="L7" s="380"/>
      <c r="M7" s="380"/>
      <c r="N7" s="381"/>
    </row>
    <row r="8" spans="1:14" ht="16.5" thickBot="1" thickTop="1">
      <c r="A8" s="369" t="s">
        <v>6</v>
      </c>
      <c r="B8" s="357" t="s">
        <v>7</v>
      </c>
      <c r="C8" s="361"/>
      <c r="D8" s="358"/>
      <c r="E8" s="357" t="s">
        <v>11</v>
      </c>
      <c r="F8" s="358"/>
      <c r="G8" s="382" t="s">
        <v>15</v>
      </c>
      <c r="H8" s="383"/>
      <c r="I8" s="383"/>
      <c r="J8" s="383"/>
      <c r="K8" s="383"/>
      <c r="L8" s="383"/>
      <c r="M8" s="383"/>
      <c r="N8" s="384"/>
    </row>
    <row r="9" spans="1:14" ht="13.5" thickTop="1">
      <c r="A9" s="370"/>
      <c r="B9" s="399" t="s">
        <v>8</v>
      </c>
      <c r="C9" s="372"/>
      <c r="D9" s="373" t="s">
        <v>9</v>
      </c>
      <c r="E9" s="466" t="s">
        <v>10</v>
      </c>
      <c r="F9" s="373" t="s">
        <v>9</v>
      </c>
      <c r="G9" s="502" t="s">
        <v>27</v>
      </c>
      <c r="H9" s="503"/>
      <c r="I9" s="375" t="s">
        <v>28</v>
      </c>
      <c r="J9" s="356"/>
      <c r="K9" s="375" t="s">
        <v>13</v>
      </c>
      <c r="L9" s="356"/>
      <c r="M9" s="375" t="s">
        <v>14</v>
      </c>
      <c r="N9" s="356"/>
    </row>
    <row r="10" spans="1:14" ht="15" thickBot="1">
      <c r="A10" s="371"/>
      <c r="B10" s="469"/>
      <c r="C10" s="394"/>
      <c r="D10" s="374"/>
      <c r="E10" s="467"/>
      <c r="F10" s="374"/>
      <c r="G10" s="11" t="s">
        <v>114</v>
      </c>
      <c r="H10" s="3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5.75" customHeight="1" thickTop="1">
      <c r="A11" s="494" t="s">
        <v>16</v>
      </c>
      <c r="B11" s="258" t="s">
        <v>94</v>
      </c>
      <c r="C11" s="199">
        <v>1770</v>
      </c>
      <c r="D11" s="200">
        <f>(5.66+2.789+0.437+0.015)*1.075*1.2</f>
        <v>11.482289999999999</v>
      </c>
      <c r="E11" s="466">
        <f>125</f>
        <v>125</v>
      </c>
      <c r="F11" s="373">
        <v>52.47</v>
      </c>
      <c r="G11" s="15">
        <v>1091</v>
      </c>
      <c r="H11" s="10">
        <v>56.19</v>
      </c>
      <c r="I11" s="6"/>
      <c r="J11" s="7"/>
      <c r="K11" s="6"/>
      <c r="L11" s="7"/>
      <c r="M11" s="6"/>
      <c r="N11" s="7"/>
    </row>
    <row r="12" spans="1:14" ht="15" customHeight="1">
      <c r="A12" s="471"/>
      <c r="B12" s="82" t="s">
        <v>111</v>
      </c>
      <c r="C12" s="202">
        <v>17.25</v>
      </c>
      <c r="D12" s="203">
        <f>49.291*1.075*1.2</f>
        <v>63.58538999999999</v>
      </c>
      <c r="E12" s="468"/>
      <c r="F12" s="364"/>
      <c r="G12" s="288">
        <v>27260</v>
      </c>
      <c r="H12" s="13">
        <v>6.91</v>
      </c>
      <c r="I12" s="12"/>
      <c r="J12" s="13"/>
      <c r="K12" s="12"/>
      <c r="L12" s="13"/>
      <c r="M12" s="12"/>
      <c r="N12" s="13"/>
    </row>
    <row r="13" spans="1:14" ht="15" customHeight="1">
      <c r="A13" s="454" t="s">
        <v>17</v>
      </c>
      <c r="B13" s="84" t="s">
        <v>94</v>
      </c>
      <c r="C13" s="93">
        <v>1770</v>
      </c>
      <c r="D13" s="200">
        <f>(5.66+3.049+0.437+0.015)*1.075*1.2</f>
        <v>11.817689999999999</v>
      </c>
      <c r="E13" s="472">
        <v>134</v>
      </c>
      <c r="F13" s="363">
        <v>52.47</v>
      </c>
      <c r="G13" s="15">
        <v>1091</v>
      </c>
      <c r="H13" s="10">
        <v>56.19</v>
      </c>
      <c r="I13" s="6"/>
      <c r="J13" s="7"/>
      <c r="K13" s="6"/>
      <c r="L13" s="7"/>
      <c r="M13" s="6"/>
      <c r="N13" s="7"/>
    </row>
    <row r="14" spans="1:14" ht="15" customHeight="1">
      <c r="A14" s="471"/>
      <c r="B14" s="82" t="s">
        <v>111</v>
      </c>
      <c r="C14" s="166">
        <v>17.25</v>
      </c>
      <c r="D14" s="203">
        <f>49.863*1.075*1.2</f>
        <v>64.32327</v>
      </c>
      <c r="E14" s="468"/>
      <c r="F14" s="364"/>
      <c r="G14" s="288">
        <v>28928</v>
      </c>
      <c r="H14" s="13">
        <v>6.91</v>
      </c>
      <c r="I14" s="6"/>
      <c r="J14" s="7"/>
      <c r="K14" s="6"/>
      <c r="L14" s="7"/>
      <c r="M14" s="6"/>
      <c r="N14" s="7"/>
    </row>
    <row r="15" spans="1:14" ht="15" customHeight="1">
      <c r="A15" s="454" t="s">
        <v>18</v>
      </c>
      <c r="B15" s="86" t="s">
        <v>94</v>
      </c>
      <c r="C15" s="168">
        <v>0</v>
      </c>
      <c r="D15" s="200">
        <f>(5.66+3.049+0.437+0.015)*1.075*1.2</f>
        <v>11.817689999999999</v>
      </c>
      <c r="E15" s="472">
        <v>121</v>
      </c>
      <c r="F15" s="363">
        <v>52.47</v>
      </c>
      <c r="G15" s="15">
        <v>10991</v>
      </c>
      <c r="H15" s="10">
        <v>56.19</v>
      </c>
      <c r="I15" s="9"/>
      <c r="J15" s="10"/>
      <c r="K15" s="9"/>
      <c r="L15" s="10"/>
      <c r="M15" s="9"/>
      <c r="N15" s="10"/>
    </row>
    <row r="16" spans="1:14" ht="15" customHeight="1">
      <c r="A16" s="471"/>
      <c r="B16" s="82" t="s">
        <v>111</v>
      </c>
      <c r="C16" s="165">
        <v>17.25</v>
      </c>
      <c r="D16" s="203">
        <f>49.863*1.075*1.2</f>
        <v>64.32327</v>
      </c>
      <c r="E16" s="468"/>
      <c r="F16" s="364"/>
      <c r="G16" s="8">
        <v>26018</v>
      </c>
      <c r="H16" s="13">
        <v>6.91</v>
      </c>
      <c r="I16" s="12"/>
      <c r="J16" s="13"/>
      <c r="K16" s="12"/>
      <c r="L16" s="13"/>
      <c r="M16" s="12"/>
      <c r="N16" s="13"/>
    </row>
    <row r="17" spans="1:14" ht="15" customHeight="1">
      <c r="A17" s="454" t="s">
        <v>19</v>
      </c>
      <c r="B17" s="86" t="s">
        <v>94</v>
      </c>
      <c r="C17" s="168">
        <v>0</v>
      </c>
      <c r="D17" s="200">
        <f>(5.66+3.049+0.437+0.015)*1.075*1.2</f>
        <v>11.817689999999999</v>
      </c>
      <c r="E17" s="472">
        <v>100</v>
      </c>
      <c r="F17" s="363">
        <v>52.47</v>
      </c>
      <c r="G17" s="15">
        <v>10991</v>
      </c>
      <c r="H17" s="10">
        <v>56.19</v>
      </c>
      <c r="I17" s="9"/>
      <c r="J17" s="10"/>
      <c r="K17" s="9"/>
      <c r="L17" s="10"/>
      <c r="M17" s="9"/>
      <c r="N17" s="10"/>
    </row>
    <row r="18" spans="1:14" ht="12.75">
      <c r="A18" s="471"/>
      <c r="B18" s="82" t="s">
        <v>111</v>
      </c>
      <c r="C18" s="90">
        <v>17.25</v>
      </c>
      <c r="D18" s="203">
        <f>49.863*1.075*1.2</f>
        <v>64.32327</v>
      </c>
      <c r="E18" s="468"/>
      <c r="F18" s="364"/>
      <c r="G18" s="8">
        <v>22087</v>
      </c>
      <c r="H18" s="13">
        <v>6.91</v>
      </c>
      <c r="I18" s="12"/>
      <c r="J18" s="13"/>
      <c r="K18" s="12"/>
      <c r="L18" s="13"/>
      <c r="M18" s="12"/>
      <c r="N18" s="13"/>
    </row>
    <row r="19" spans="1:14" ht="12.75">
      <c r="A19" s="454" t="s">
        <v>20</v>
      </c>
      <c r="B19" s="86" t="s">
        <v>94</v>
      </c>
      <c r="C19" s="168">
        <v>4470</v>
      </c>
      <c r="D19" s="200">
        <f>(5.66+3.049+0.437+0.015)*1.075*1.2</f>
        <v>11.817689999999999</v>
      </c>
      <c r="E19" s="472">
        <v>120</v>
      </c>
      <c r="F19" s="363">
        <v>52.47</v>
      </c>
      <c r="G19" s="15">
        <v>10991</v>
      </c>
      <c r="H19" s="10">
        <v>56.19</v>
      </c>
      <c r="I19" s="9"/>
      <c r="J19" s="10"/>
      <c r="K19" s="9"/>
      <c r="L19" s="10"/>
      <c r="M19" s="9"/>
      <c r="N19" s="10"/>
    </row>
    <row r="20" spans="1:14" ht="12.75">
      <c r="A20" s="471"/>
      <c r="B20" s="82" t="s">
        <v>111</v>
      </c>
      <c r="C20" s="90">
        <v>17.25</v>
      </c>
      <c r="D20" s="203">
        <f>49.863*1.075*1.2</f>
        <v>64.32327</v>
      </c>
      <c r="E20" s="468"/>
      <c r="F20" s="364"/>
      <c r="G20" s="8">
        <v>0</v>
      </c>
      <c r="H20" s="13">
        <v>6.91</v>
      </c>
      <c r="I20" s="12"/>
      <c r="J20" s="13"/>
      <c r="K20" s="12"/>
      <c r="L20" s="13"/>
      <c r="M20" s="12"/>
      <c r="N20" s="13"/>
    </row>
    <row r="21" spans="1:14" ht="12.75">
      <c r="A21" s="454" t="s">
        <v>68</v>
      </c>
      <c r="B21" s="86" t="s">
        <v>94</v>
      </c>
      <c r="C21" s="168">
        <v>1110</v>
      </c>
      <c r="D21" s="200">
        <f>(5.66+3.049+0.437+0.015)*1.075*1.2</f>
        <v>11.817689999999999</v>
      </c>
      <c r="E21" s="472">
        <v>189</v>
      </c>
      <c r="F21" s="363">
        <v>52.47</v>
      </c>
      <c r="G21" s="15">
        <v>10991</v>
      </c>
      <c r="H21" s="10">
        <v>56.19</v>
      </c>
      <c r="I21" s="9"/>
      <c r="J21" s="10"/>
      <c r="K21" s="9"/>
      <c r="L21" s="10"/>
      <c r="M21" s="9"/>
      <c r="N21" s="10"/>
    </row>
    <row r="22" spans="1:14" ht="12.75">
      <c r="A22" s="471"/>
      <c r="B22" s="82" t="s">
        <v>111</v>
      </c>
      <c r="C22" s="90">
        <v>17.25</v>
      </c>
      <c r="D22" s="203">
        <f>49.863*1.075*1.2</f>
        <v>64.32327</v>
      </c>
      <c r="E22" s="468"/>
      <c r="F22" s="364"/>
      <c r="G22" s="8">
        <v>0</v>
      </c>
      <c r="H22" s="13">
        <v>6.91</v>
      </c>
      <c r="I22" s="12"/>
      <c r="J22" s="13"/>
      <c r="K22" s="12"/>
      <c r="L22" s="13"/>
      <c r="M22" s="12"/>
      <c r="N22" s="13"/>
    </row>
    <row r="23" spans="1:14" ht="12.75">
      <c r="A23" s="454" t="s">
        <v>69</v>
      </c>
      <c r="B23" s="86" t="s">
        <v>94</v>
      </c>
      <c r="C23" s="168">
        <v>1200</v>
      </c>
      <c r="D23" s="200">
        <f>(5.66+3.049+0.437+0.015)*1.075*1.2</f>
        <v>11.817689999999999</v>
      </c>
      <c r="E23" s="472">
        <v>108</v>
      </c>
      <c r="F23" s="363">
        <v>52.47</v>
      </c>
      <c r="G23" s="15">
        <v>10991</v>
      </c>
      <c r="H23" s="10">
        <v>56.19</v>
      </c>
      <c r="I23" s="9"/>
      <c r="J23" s="10"/>
      <c r="K23" s="9"/>
      <c r="L23" s="10"/>
      <c r="M23" s="9"/>
      <c r="N23" s="10"/>
    </row>
    <row r="24" spans="1:14" ht="12.75">
      <c r="A24" s="471"/>
      <c r="B24" s="82" t="s">
        <v>95</v>
      </c>
      <c r="C24" s="90">
        <v>17.25</v>
      </c>
      <c r="D24" s="203">
        <f>49.863*1.075*1.2</f>
        <v>64.32327</v>
      </c>
      <c r="E24" s="468"/>
      <c r="F24" s="364"/>
      <c r="G24" s="8">
        <v>0</v>
      </c>
      <c r="H24" s="13">
        <v>6.91</v>
      </c>
      <c r="I24" s="12"/>
      <c r="J24" s="13"/>
      <c r="K24" s="12"/>
      <c r="L24" s="13"/>
      <c r="M24" s="12"/>
      <c r="N24" s="13"/>
    </row>
    <row r="25" spans="1:14" ht="12.75">
      <c r="A25" s="454" t="s">
        <v>22</v>
      </c>
      <c r="B25" s="86" t="s">
        <v>94</v>
      </c>
      <c r="C25" s="168">
        <v>1290</v>
      </c>
      <c r="D25" s="200">
        <f>(5.66+3.049+0.437+0.015)*1.075*1.2</f>
        <v>11.817689999999999</v>
      </c>
      <c r="E25" s="472">
        <f>110</f>
        <v>110</v>
      </c>
      <c r="F25" s="363">
        <v>52.47</v>
      </c>
      <c r="G25" s="15">
        <v>10991</v>
      </c>
      <c r="H25" s="10">
        <v>56.19</v>
      </c>
      <c r="I25" s="12"/>
      <c r="J25" s="13"/>
      <c r="K25" s="12"/>
      <c r="L25" s="13"/>
      <c r="M25" s="12"/>
      <c r="N25" s="13"/>
    </row>
    <row r="26" spans="1:14" ht="12.75">
      <c r="A26" s="471"/>
      <c r="B26" s="82" t="s">
        <v>95</v>
      </c>
      <c r="C26" s="90">
        <v>17.25</v>
      </c>
      <c r="D26" s="203">
        <f>49.863*1.075*1.2</f>
        <v>64.32327</v>
      </c>
      <c r="E26" s="468"/>
      <c r="F26" s="364"/>
      <c r="G26" s="8">
        <v>0</v>
      </c>
      <c r="H26" s="13">
        <v>6.91</v>
      </c>
      <c r="I26" s="4"/>
      <c r="J26" s="5"/>
      <c r="K26" s="4"/>
      <c r="L26" s="5"/>
      <c r="M26" s="4"/>
      <c r="N26" s="5"/>
    </row>
    <row r="27" spans="1:14" ht="12.75">
      <c r="A27" s="454" t="s">
        <v>23</v>
      </c>
      <c r="B27" s="86" t="s">
        <v>94</v>
      </c>
      <c r="C27" s="168">
        <v>1620</v>
      </c>
      <c r="D27" s="200">
        <f>(8.73+3.049+0.437+0.015)*1.075*1.2</f>
        <v>15.777989999999999</v>
      </c>
      <c r="E27" s="472">
        <f>161</f>
        <v>161</v>
      </c>
      <c r="F27" s="363">
        <v>58.17</v>
      </c>
      <c r="G27" s="15">
        <v>10991</v>
      </c>
      <c r="H27" s="10">
        <v>56.19</v>
      </c>
      <c r="I27" s="4"/>
      <c r="J27" s="5"/>
      <c r="K27" s="4"/>
      <c r="L27" s="5"/>
      <c r="M27" s="4"/>
      <c r="N27" s="5"/>
    </row>
    <row r="28" spans="1:14" ht="12.75">
      <c r="A28" s="471"/>
      <c r="B28" s="82" t="s">
        <v>95</v>
      </c>
      <c r="C28" s="90">
        <v>17.25</v>
      </c>
      <c r="D28" s="203">
        <f>49.863*1.075*1.2</f>
        <v>64.32327</v>
      </c>
      <c r="E28" s="468"/>
      <c r="F28" s="364"/>
      <c r="G28" s="8">
        <v>0</v>
      </c>
      <c r="H28" s="13">
        <v>6.91</v>
      </c>
      <c r="I28" s="4"/>
      <c r="J28" s="5"/>
      <c r="K28" s="4"/>
      <c r="L28" s="5"/>
      <c r="M28" s="4"/>
      <c r="N28" s="5"/>
    </row>
    <row r="29" spans="1:14" ht="12.75">
      <c r="A29" s="454" t="s">
        <v>24</v>
      </c>
      <c r="B29" s="86" t="s">
        <v>94</v>
      </c>
      <c r="C29" s="168">
        <v>1980</v>
      </c>
      <c r="D29" s="200">
        <f>(8.73+3.394+0.437+0.015)*1.075*1.2</f>
        <v>16.223039999999997</v>
      </c>
      <c r="E29" s="472">
        <v>120</v>
      </c>
      <c r="F29" s="363">
        <v>58.17</v>
      </c>
      <c r="G29" s="15">
        <v>10991</v>
      </c>
      <c r="H29" s="10">
        <v>56.19</v>
      </c>
      <c r="I29" s="4"/>
      <c r="J29" s="5"/>
      <c r="K29" s="4"/>
      <c r="L29" s="5"/>
      <c r="M29" s="4"/>
      <c r="N29" s="5"/>
    </row>
    <row r="30" spans="1:14" ht="12.75">
      <c r="A30" s="471"/>
      <c r="B30" s="82" t="s">
        <v>95</v>
      </c>
      <c r="C30" s="90">
        <v>17.25</v>
      </c>
      <c r="D30" s="203">
        <f>54.258*1.075*1.2</f>
        <v>69.99282</v>
      </c>
      <c r="E30" s="468"/>
      <c r="F30" s="364"/>
      <c r="G30" s="8">
        <v>14666</v>
      </c>
      <c r="H30" s="13">
        <v>6.91</v>
      </c>
      <c r="I30" s="4"/>
      <c r="J30" s="5"/>
      <c r="K30" s="4"/>
      <c r="L30" s="5"/>
      <c r="M30" s="4"/>
      <c r="N30" s="5"/>
    </row>
    <row r="31" spans="1:14" ht="12.75">
      <c r="A31" s="454" t="s">
        <v>25</v>
      </c>
      <c r="B31" s="86" t="s">
        <v>94</v>
      </c>
      <c r="C31" s="168">
        <v>2160</v>
      </c>
      <c r="D31" s="200">
        <f>(8.73+3.394+0.437+0.015)*1.075*1.2</f>
        <v>16.223039999999997</v>
      </c>
      <c r="E31" s="472">
        <v>104</v>
      </c>
      <c r="F31" s="363">
        <v>58.17</v>
      </c>
      <c r="G31" s="15">
        <v>10991</v>
      </c>
      <c r="H31" s="10">
        <v>56.19</v>
      </c>
      <c r="I31" s="4"/>
      <c r="J31" s="5"/>
      <c r="K31" s="4"/>
      <c r="L31" s="5"/>
      <c r="M31" s="4"/>
      <c r="N31" s="5"/>
    </row>
    <row r="32" spans="1:14" ht="12.75">
      <c r="A32" s="471"/>
      <c r="B32" s="82" t="s">
        <v>95</v>
      </c>
      <c r="C32" s="90">
        <v>17.25</v>
      </c>
      <c r="D32" s="203">
        <f>54.258*1.075*1.2</f>
        <v>69.99282</v>
      </c>
      <c r="E32" s="468"/>
      <c r="F32" s="364"/>
      <c r="G32" s="8">
        <v>21083</v>
      </c>
      <c r="H32" s="13">
        <v>6.91</v>
      </c>
      <c r="I32" s="4"/>
      <c r="J32" s="5"/>
      <c r="K32" s="4"/>
      <c r="L32" s="5"/>
      <c r="M32" s="4"/>
      <c r="N32" s="5"/>
    </row>
    <row r="33" spans="1:14" ht="12.75">
      <c r="A33" s="454" t="s">
        <v>26</v>
      </c>
      <c r="B33" s="86" t="s">
        <v>94</v>
      </c>
      <c r="C33" s="168"/>
      <c r="D33" s="182"/>
      <c r="E33" s="472"/>
      <c r="F33" s="363"/>
      <c r="G33" s="15"/>
      <c r="H33" s="10"/>
      <c r="I33" s="9"/>
      <c r="J33" s="10"/>
      <c r="K33" s="9"/>
      <c r="L33" s="10"/>
      <c r="M33" s="9"/>
      <c r="N33" s="10"/>
    </row>
    <row r="34" spans="1:14" ht="13.5" thickBot="1">
      <c r="A34" s="504"/>
      <c r="B34" s="87" t="s">
        <v>95</v>
      </c>
      <c r="C34" s="90"/>
      <c r="D34" s="183"/>
      <c r="E34" s="467"/>
      <c r="F34" s="374"/>
      <c r="G34" s="8"/>
      <c r="H34" s="13"/>
      <c r="I34" s="2"/>
      <c r="J34" s="3"/>
      <c r="K34" s="2"/>
      <c r="L34" s="3"/>
      <c r="M34" s="2"/>
      <c r="N34" s="3"/>
    </row>
    <row r="35" spans="1:14" ht="15" thickTop="1">
      <c r="A35" s="16"/>
      <c r="B35" s="16"/>
      <c r="C35" s="16"/>
      <c r="D35" s="16"/>
      <c r="E35" s="16"/>
      <c r="F35" s="16"/>
      <c r="G35" s="16"/>
      <c r="H35" s="16"/>
      <c r="I35" s="1"/>
      <c r="J35" s="1"/>
      <c r="K35" s="1"/>
      <c r="L35" s="1"/>
      <c r="M35" s="1"/>
      <c r="N35" s="1"/>
    </row>
    <row r="36" spans="1:14" s="27" customFormat="1" ht="12.75">
      <c r="A36" s="403"/>
      <c r="B36" s="403"/>
      <c r="C36" s="403"/>
      <c r="D36" s="404"/>
      <c r="E36" s="23"/>
      <c r="F36" s="23"/>
      <c r="G36" s="23"/>
      <c r="H36" s="23"/>
      <c r="I36" s="23"/>
      <c r="J36" s="23"/>
      <c r="K36" s="23"/>
      <c r="L36" s="23"/>
      <c r="M36" s="23"/>
      <c r="N36" s="23"/>
    </row>
    <row r="37" spans="1:14" s="27" customFormat="1" ht="12.75">
      <c r="A37" s="23"/>
      <c r="B37" s="22"/>
      <c r="C37" s="22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</row>
    <row r="38" spans="1:14" s="27" customFormat="1" ht="12.75">
      <c r="A38" s="23"/>
      <c r="B38" s="403"/>
      <c r="C38" s="403"/>
      <c r="D38" s="403"/>
      <c r="E38" s="404"/>
      <c r="F38" s="23"/>
      <c r="G38" s="23"/>
      <c r="H38" s="23"/>
      <c r="I38" s="23"/>
      <c r="J38" s="23"/>
      <c r="K38" s="23"/>
      <c r="L38" s="23"/>
      <c r="M38" s="23"/>
      <c r="N38" s="23"/>
    </row>
    <row r="39" spans="1:14" s="27" customFormat="1" ht="12.75">
      <c r="A39" s="23"/>
      <c r="B39" s="403"/>
      <c r="C39" s="403"/>
      <c r="D39" s="403"/>
      <c r="E39" s="23"/>
      <c r="F39" s="23"/>
      <c r="G39" s="23"/>
      <c r="H39" s="23"/>
      <c r="I39" s="23"/>
      <c r="J39" s="23"/>
      <c r="K39" s="23"/>
      <c r="L39" s="23"/>
      <c r="M39" s="23"/>
      <c r="N39" s="23"/>
    </row>
    <row r="40" spans="1:14" ht="14.25">
      <c r="A40" s="16"/>
      <c r="B40" s="16"/>
      <c r="C40" s="16"/>
      <c r="D40" s="16"/>
      <c r="E40" s="16"/>
      <c r="F40" s="16"/>
      <c r="G40" s="16"/>
      <c r="H40" s="16"/>
      <c r="I40" s="1"/>
      <c r="J40" s="1"/>
      <c r="K40" s="1"/>
      <c r="L40" s="1"/>
      <c r="M40" s="1"/>
      <c r="N40" s="1"/>
    </row>
    <row r="41" spans="1:8" ht="14.25">
      <c r="A41" s="20"/>
      <c r="B41" s="20"/>
      <c r="C41" s="20"/>
      <c r="D41" s="20"/>
      <c r="E41" s="20"/>
      <c r="F41" s="20"/>
      <c r="G41" s="20"/>
      <c r="H41" s="20"/>
    </row>
    <row r="42" spans="1:8" ht="14.25">
      <c r="A42" s="20"/>
      <c r="B42" s="20"/>
      <c r="C42" s="20"/>
      <c r="D42" s="20"/>
      <c r="E42" s="20"/>
      <c r="F42" s="20"/>
      <c r="G42" s="20"/>
      <c r="H42" s="20"/>
    </row>
    <row r="43" spans="1:8" ht="14.25">
      <c r="A43" s="20"/>
      <c r="B43" s="20"/>
      <c r="C43" s="20"/>
      <c r="D43" s="20"/>
      <c r="E43" s="20"/>
      <c r="F43" s="20"/>
      <c r="G43" s="20"/>
      <c r="H43" s="20"/>
    </row>
  </sheetData>
  <sheetProtection/>
  <mergeCells count="55">
    <mergeCell ref="B39:D39"/>
    <mergeCell ref="E33:E34"/>
    <mergeCell ref="A27:A28"/>
    <mergeCell ref="E27:E28"/>
    <mergeCell ref="A33:A34"/>
    <mergeCell ref="A29:A30"/>
    <mergeCell ref="A31:A32"/>
    <mergeCell ref="E31:E32"/>
    <mergeCell ref="E29:E30"/>
    <mergeCell ref="A25:A26"/>
    <mergeCell ref="E25:E26"/>
    <mergeCell ref="F25:F26"/>
    <mergeCell ref="B38:E38"/>
    <mergeCell ref="F33:F34"/>
    <mergeCell ref="F29:F30"/>
    <mergeCell ref="F31:F32"/>
    <mergeCell ref="F27:F28"/>
    <mergeCell ref="A36:D36"/>
    <mergeCell ref="A23:A24"/>
    <mergeCell ref="E23:E24"/>
    <mergeCell ref="A17:A18"/>
    <mergeCell ref="F19:F20"/>
    <mergeCell ref="F23:F24"/>
    <mergeCell ref="A19:A20"/>
    <mergeCell ref="E19:E20"/>
    <mergeCell ref="A21:A22"/>
    <mergeCell ref="E21:E22"/>
    <mergeCell ref="F21:F22"/>
    <mergeCell ref="F15:F16"/>
    <mergeCell ref="B9:C10"/>
    <mergeCell ref="A11:A12"/>
    <mergeCell ref="A13:A14"/>
    <mergeCell ref="A15:A16"/>
    <mergeCell ref="E15:E16"/>
    <mergeCell ref="E13:E14"/>
    <mergeCell ref="E17:E18"/>
    <mergeCell ref="F17:F18"/>
    <mergeCell ref="G8:N8"/>
    <mergeCell ref="D9:D10"/>
    <mergeCell ref="E9:E10"/>
    <mergeCell ref="M9:N9"/>
    <mergeCell ref="I9:J9"/>
    <mergeCell ref="B8:D8"/>
    <mergeCell ref="E8:F8"/>
    <mergeCell ref="F13:F14"/>
    <mergeCell ref="I1:K1"/>
    <mergeCell ref="I2:K2"/>
    <mergeCell ref="I3:K3"/>
    <mergeCell ref="E11:E12"/>
    <mergeCell ref="F11:F12"/>
    <mergeCell ref="K9:L9"/>
    <mergeCell ref="F9:F10"/>
    <mergeCell ref="G9:H9"/>
    <mergeCell ref="A6:N7"/>
    <mergeCell ref="A8:A10"/>
  </mergeCells>
  <printOptions/>
  <pageMargins left="0.2" right="0.25" top="0.44" bottom="1" header="0.5" footer="0.5"/>
  <pageSetup horizontalDpi="600" verticalDpi="600" orientation="landscape" paperSize="9" r:id="rId1"/>
  <headerFooter alignWithMargins="0">
    <oddFooter>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N54"/>
  <sheetViews>
    <sheetView zoomScalePageLayoutView="0" workbookViewId="0" topLeftCell="A19">
      <selection activeCell="E44" sqref="E44:E46"/>
    </sheetView>
  </sheetViews>
  <sheetFormatPr defaultColWidth="9.140625" defaultRowHeight="12.75"/>
  <cols>
    <col min="1" max="1" width="18.28125" style="0" customWidth="1"/>
    <col min="2" max="2" width="6.7109375" style="0" customWidth="1"/>
    <col min="3" max="3" width="11.421875" style="0" customWidth="1"/>
    <col min="4" max="4" width="8.00390625" style="0" customWidth="1"/>
    <col min="5" max="5" width="13.421875" style="0" customWidth="1"/>
    <col min="6" max="6" width="6.140625" style="0" customWidth="1"/>
    <col min="7" max="7" width="13.7109375" style="0" customWidth="1"/>
    <col min="8" max="8" width="11.7109375" style="0" customWidth="1"/>
    <col min="9" max="9" width="12.8515625" style="0" customWidth="1"/>
    <col min="10" max="10" width="6.7109375" style="0" customWidth="1"/>
    <col min="11" max="11" width="11.57421875" style="0" customWidth="1"/>
    <col min="12" max="12" width="6.57421875" style="0" customWidth="1"/>
    <col min="13" max="13" width="11.8515625" style="0" customWidth="1"/>
    <col min="14" max="14" width="6.8515625" style="0" customWidth="1"/>
  </cols>
  <sheetData>
    <row r="1" spans="1:14" s="24" customFormat="1" ht="15">
      <c r="A1" s="19" t="s">
        <v>41</v>
      </c>
      <c r="B1" s="17" t="s">
        <v>47</v>
      </c>
      <c r="C1" s="17"/>
      <c r="D1" s="18"/>
      <c r="E1" s="18"/>
      <c r="F1" s="18"/>
      <c r="G1" s="18"/>
      <c r="H1" s="18"/>
      <c r="I1" s="495" t="s">
        <v>29</v>
      </c>
      <c r="J1" s="495"/>
      <c r="K1" s="495"/>
      <c r="L1" s="18">
        <v>315</v>
      </c>
      <c r="M1" s="18"/>
      <c r="N1" s="18"/>
    </row>
    <row r="2" spans="1:14" s="24" customFormat="1" ht="15">
      <c r="A2" s="17" t="s">
        <v>1</v>
      </c>
      <c r="B2" s="17" t="s">
        <v>106</v>
      </c>
      <c r="C2" s="17"/>
      <c r="D2" s="18"/>
      <c r="E2" s="18"/>
      <c r="F2" s="18"/>
      <c r="G2" s="18"/>
      <c r="H2" s="18"/>
      <c r="I2" s="495" t="s">
        <v>2</v>
      </c>
      <c r="J2" s="495"/>
      <c r="K2" s="495"/>
      <c r="L2" s="18">
        <v>3</v>
      </c>
      <c r="M2" s="18"/>
      <c r="N2" s="18"/>
    </row>
    <row r="3" spans="1:14" s="24" customFormat="1" ht="15">
      <c r="A3" s="17" t="s">
        <v>0</v>
      </c>
      <c r="B3" s="17" t="s">
        <v>38</v>
      </c>
      <c r="C3" s="17"/>
      <c r="D3" s="18"/>
      <c r="E3" s="18"/>
      <c r="F3" s="18"/>
      <c r="G3" s="18"/>
      <c r="H3" s="18"/>
      <c r="I3" s="495" t="s">
        <v>3</v>
      </c>
      <c r="J3" s="495"/>
      <c r="K3" s="495"/>
      <c r="L3" s="18" t="s">
        <v>49</v>
      </c>
      <c r="M3" s="18"/>
      <c r="N3" s="18"/>
    </row>
    <row r="4" spans="1:14" s="24" customFormat="1" ht="15">
      <c r="A4" s="17" t="s">
        <v>4</v>
      </c>
      <c r="B4" s="17">
        <v>56</v>
      </c>
      <c r="C4" s="17"/>
      <c r="D4" s="18"/>
      <c r="E4" s="18"/>
      <c r="F4" s="18"/>
      <c r="G4" s="18"/>
      <c r="H4" s="18"/>
      <c r="I4" s="17" t="s">
        <v>31</v>
      </c>
      <c r="J4" s="17"/>
      <c r="K4" s="17"/>
      <c r="L4" s="18"/>
      <c r="M4" s="18"/>
      <c r="N4" s="18"/>
    </row>
    <row r="5" spans="1:14" ht="15" thickBot="1">
      <c r="A5" s="1"/>
      <c r="B5" s="1"/>
      <c r="C5" s="1"/>
      <c r="D5" s="1"/>
      <c r="E5" s="1"/>
      <c r="F5" s="1"/>
      <c r="G5" s="1"/>
      <c r="H5" s="1"/>
      <c r="I5" s="1"/>
      <c r="J5" s="1"/>
      <c r="K5" s="35"/>
      <c r="L5" s="35" t="s">
        <v>65</v>
      </c>
      <c r="M5" s="35"/>
      <c r="N5" s="1"/>
    </row>
    <row r="6" spans="1:14" ht="13.5" thickTop="1">
      <c r="A6" s="376" t="s">
        <v>5</v>
      </c>
      <c r="B6" s="377"/>
      <c r="C6" s="377"/>
      <c r="D6" s="377"/>
      <c r="E6" s="377"/>
      <c r="F6" s="377"/>
      <c r="G6" s="377"/>
      <c r="H6" s="377"/>
      <c r="I6" s="377"/>
      <c r="J6" s="377"/>
      <c r="K6" s="377"/>
      <c r="L6" s="377"/>
      <c r="M6" s="377"/>
      <c r="N6" s="378"/>
    </row>
    <row r="7" spans="1:14" ht="13.5" thickBot="1">
      <c r="A7" s="379"/>
      <c r="B7" s="380"/>
      <c r="C7" s="380"/>
      <c r="D7" s="380"/>
      <c r="E7" s="380"/>
      <c r="F7" s="380"/>
      <c r="G7" s="380"/>
      <c r="H7" s="380"/>
      <c r="I7" s="380"/>
      <c r="J7" s="380"/>
      <c r="K7" s="380"/>
      <c r="L7" s="380"/>
      <c r="M7" s="380"/>
      <c r="N7" s="381"/>
    </row>
    <row r="8" spans="1:14" ht="16.5" thickBot="1" thickTop="1">
      <c r="A8" s="369" t="s">
        <v>6</v>
      </c>
      <c r="B8" s="357" t="s">
        <v>7</v>
      </c>
      <c r="C8" s="361"/>
      <c r="D8" s="358"/>
      <c r="E8" s="357" t="s">
        <v>11</v>
      </c>
      <c r="F8" s="358"/>
      <c r="G8" s="382" t="s">
        <v>15</v>
      </c>
      <c r="H8" s="383"/>
      <c r="I8" s="383"/>
      <c r="J8" s="383"/>
      <c r="K8" s="383"/>
      <c r="L8" s="383"/>
      <c r="M8" s="383"/>
      <c r="N8" s="384"/>
    </row>
    <row r="9" spans="1:14" ht="13.5" thickTop="1">
      <c r="A9" s="370"/>
      <c r="B9" s="399" t="s">
        <v>8</v>
      </c>
      <c r="C9" s="372"/>
      <c r="D9" s="373" t="s">
        <v>9</v>
      </c>
      <c r="E9" s="466" t="s">
        <v>10</v>
      </c>
      <c r="F9" s="373" t="s">
        <v>9</v>
      </c>
      <c r="G9" s="365" t="s">
        <v>27</v>
      </c>
      <c r="H9" s="366"/>
      <c r="I9" s="375" t="s">
        <v>28</v>
      </c>
      <c r="J9" s="356"/>
      <c r="K9" s="375" t="s">
        <v>13</v>
      </c>
      <c r="L9" s="356"/>
      <c r="M9" s="375" t="s">
        <v>14</v>
      </c>
      <c r="N9" s="356"/>
    </row>
    <row r="10" spans="1:14" ht="15" thickBot="1">
      <c r="A10" s="371"/>
      <c r="B10" s="469"/>
      <c r="C10" s="394"/>
      <c r="D10" s="374"/>
      <c r="E10" s="467"/>
      <c r="F10" s="374"/>
      <c r="G10" s="11" t="s">
        <v>114</v>
      </c>
      <c r="H10" s="3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5.75" customHeight="1" thickTop="1">
      <c r="A11" s="494" t="s">
        <v>16</v>
      </c>
      <c r="B11" s="81" t="s">
        <v>94</v>
      </c>
      <c r="C11" s="185">
        <v>5129</v>
      </c>
      <c r="D11" s="186">
        <f>(6.29+2.177+0.437+0.015)*1.075*1.2</f>
        <v>11.50551</v>
      </c>
      <c r="E11" s="466">
        <f>96</f>
        <v>96</v>
      </c>
      <c r="F11" s="373">
        <v>52.47</v>
      </c>
      <c r="G11" s="217"/>
      <c r="H11" s="218"/>
      <c r="I11" s="6"/>
      <c r="J11" s="7"/>
      <c r="K11" s="6"/>
      <c r="L11" s="7"/>
      <c r="M11" s="6"/>
      <c r="N11" s="7"/>
    </row>
    <row r="12" spans="1:14" ht="15.75" customHeight="1">
      <c r="A12" s="455"/>
      <c r="B12" s="84" t="s">
        <v>101</v>
      </c>
      <c r="C12" s="89">
        <v>2404</v>
      </c>
      <c r="D12" s="187">
        <f>(4.04+0.726+0.437+0.015)*1.075*1.2</f>
        <v>6.7312199999999995</v>
      </c>
      <c r="E12" s="473"/>
      <c r="F12" s="478"/>
      <c r="G12" s="219"/>
      <c r="H12" s="220"/>
      <c r="I12" s="6"/>
      <c r="J12" s="7"/>
      <c r="K12" s="6"/>
      <c r="L12" s="7"/>
      <c r="M12" s="6"/>
      <c r="N12" s="7"/>
    </row>
    <row r="13" spans="1:14" ht="16.5" customHeight="1" thickBot="1">
      <c r="A13" s="471"/>
      <c r="B13" s="82" t="s">
        <v>113</v>
      </c>
      <c r="C13" s="149">
        <v>21.1</v>
      </c>
      <c r="D13" s="189">
        <f>157.732*1.075*1.2</f>
        <v>203.47427999999996</v>
      </c>
      <c r="E13" s="468"/>
      <c r="F13" s="364"/>
      <c r="G13" s="221"/>
      <c r="H13" s="222"/>
      <c r="I13" s="6"/>
      <c r="J13" s="7"/>
      <c r="K13" s="6"/>
      <c r="L13" s="7"/>
      <c r="M13" s="6"/>
      <c r="N13" s="7"/>
    </row>
    <row r="14" spans="1:14" ht="15" customHeight="1">
      <c r="A14" s="454" t="s">
        <v>17</v>
      </c>
      <c r="B14" s="81" t="s">
        <v>94</v>
      </c>
      <c r="C14" s="168">
        <v>4534</v>
      </c>
      <c r="D14" s="186">
        <f>(6.29+2.241+0.437+0.015)*1.075*1.2</f>
        <v>11.58807</v>
      </c>
      <c r="E14" s="472">
        <v>94</v>
      </c>
      <c r="F14" s="492">
        <v>52.47</v>
      </c>
      <c r="G14" s="223"/>
      <c r="H14" s="224"/>
      <c r="I14" s="9"/>
      <c r="J14" s="10"/>
      <c r="K14" s="9"/>
      <c r="L14" s="10"/>
      <c r="M14" s="9"/>
      <c r="N14" s="10"/>
    </row>
    <row r="15" spans="1:14" ht="15" customHeight="1">
      <c r="A15" s="455"/>
      <c r="B15" s="84" t="s">
        <v>101</v>
      </c>
      <c r="C15" s="93">
        <v>2071</v>
      </c>
      <c r="D15" s="187">
        <f>(4.04+0.747+0.437+0.015)*1.075*1.2</f>
        <v>6.75831</v>
      </c>
      <c r="E15" s="473"/>
      <c r="F15" s="493"/>
      <c r="G15" s="219"/>
      <c r="H15" s="220"/>
      <c r="I15" s="6"/>
      <c r="J15" s="7"/>
      <c r="K15" s="6"/>
      <c r="L15" s="7"/>
      <c r="M15" s="6"/>
      <c r="N15" s="7"/>
    </row>
    <row r="16" spans="1:14" ht="15" customHeight="1" thickBot="1">
      <c r="A16" s="471"/>
      <c r="B16" s="82" t="s">
        <v>113</v>
      </c>
      <c r="C16" s="90">
        <v>21.1</v>
      </c>
      <c r="D16" s="189">
        <f>159.562*1.075*1.2</f>
        <v>205.83498</v>
      </c>
      <c r="E16" s="468"/>
      <c r="F16" s="505"/>
      <c r="G16" s="221"/>
      <c r="H16" s="222"/>
      <c r="I16" s="12"/>
      <c r="J16" s="13"/>
      <c r="K16" s="12"/>
      <c r="L16" s="13"/>
      <c r="M16" s="12"/>
      <c r="N16" s="13"/>
    </row>
    <row r="17" spans="1:14" ht="15" customHeight="1">
      <c r="A17" s="454" t="s">
        <v>18</v>
      </c>
      <c r="B17" s="81" t="s">
        <v>94</v>
      </c>
      <c r="C17" s="168">
        <v>5046</v>
      </c>
      <c r="D17" s="186">
        <f>(6.29+2.241+0.437+0.015)*1.075*1.2</f>
        <v>11.58807</v>
      </c>
      <c r="E17" s="472">
        <v>102</v>
      </c>
      <c r="F17" s="492">
        <v>52.47</v>
      </c>
      <c r="G17" s="223"/>
      <c r="H17" s="224"/>
      <c r="I17" s="9"/>
      <c r="J17" s="10"/>
      <c r="K17" s="9"/>
      <c r="L17" s="10"/>
      <c r="M17" s="9"/>
      <c r="N17" s="10"/>
    </row>
    <row r="18" spans="1:14" ht="15" customHeight="1">
      <c r="A18" s="455"/>
      <c r="B18" s="84" t="s">
        <v>101</v>
      </c>
      <c r="C18" s="93">
        <v>2282</v>
      </c>
      <c r="D18" s="187">
        <f>(4.04+0.747+0.437+0.015)*1.075*1.2</f>
        <v>6.75831</v>
      </c>
      <c r="E18" s="473"/>
      <c r="F18" s="493"/>
      <c r="G18" s="219"/>
      <c r="H18" s="220"/>
      <c r="I18" s="6"/>
      <c r="J18" s="7"/>
      <c r="K18" s="6"/>
      <c r="L18" s="7"/>
      <c r="M18" s="6"/>
      <c r="N18" s="7"/>
    </row>
    <row r="19" spans="1:14" ht="15" customHeight="1" thickBot="1">
      <c r="A19" s="471"/>
      <c r="B19" s="82" t="s">
        <v>113</v>
      </c>
      <c r="C19" s="90">
        <v>21.1</v>
      </c>
      <c r="D19" s="189">
        <f>159.562*1.075*1.2</f>
        <v>205.83498</v>
      </c>
      <c r="E19" s="468"/>
      <c r="F19" s="505"/>
      <c r="G19" s="221"/>
      <c r="H19" s="222"/>
      <c r="I19" s="12"/>
      <c r="J19" s="13"/>
      <c r="K19" s="12"/>
      <c r="L19" s="13"/>
      <c r="M19" s="12"/>
      <c r="N19" s="13"/>
    </row>
    <row r="20" spans="1:14" ht="15" customHeight="1">
      <c r="A20" s="454" t="s">
        <v>19</v>
      </c>
      <c r="B20" s="81" t="s">
        <v>94</v>
      </c>
      <c r="C20" s="168">
        <v>3417</v>
      </c>
      <c r="D20" s="186">
        <f>(6.29+2.241+0.437+0.015)*1.075*1.2</f>
        <v>11.58807</v>
      </c>
      <c r="E20" s="472">
        <v>93</v>
      </c>
      <c r="F20" s="492">
        <v>52.47</v>
      </c>
      <c r="G20" s="223"/>
      <c r="H20" s="224"/>
      <c r="I20" s="9"/>
      <c r="J20" s="10"/>
      <c r="K20" s="9"/>
      <c r="L20" s="10"/>
      <c r="M20" s="9"/>
      <c r="N20" s="10"/>
    </row>
    <row r="21" spans="1:14" ht="15" customHeight="1">
      <c r="A21" s="455"/>
      <c r="B21" s="84" t="s">
        <v>101</v>
      </c>
      <c r="C21" s="92">
        <v>1484</v>
      </c>
      <c r="D21" s="187">
        <f>(4.04+0.747+0.437+0.015)*1.075*1.2</f>
        <v>6.75831</v>
      </c>
      <c r="E21" s="473"/>
      <c r="F21" s="493"/>
      <c r="G21" s="219"/>
      <c r="H21" s="220"/>
      <c r="I21" s="6"/>
      <c r="J21" s="7"/>
      <c r="K21" s="6"/>
      <c r="L21" s="7"/>
      <c r="M21" s="6"/>
      <c r="N21" s="7"/>
    </row>
    <row r="22" spans="1:14" ht="13.5" thickBot="1">
      <c r="A22" s="471"/>
      <c r="B22" s="82" t="s">
        <v>113</v>
      </c>
      <c r="C22" s="90">
        <v>21.1</v>
      </c>
      <c r="D22" s="189">
        <f>159.562*1.075*1.2</f>
        <v>205.83498</v>
      </c>
      <c r="E22" s="468"/>
      <c r="F22" s="505"/>
      <c r="G22" s="221"/>
      <c r="H22" s="222"/>
      <c r="I22" s="12"/>
      <c r="J22" s="13"/>
      <c r="K22" s="12"/>
      <c r="L22" s="13"/>
      <c r="M22" s="12"/>
      <c r="N22" s="13"/>
    </row>
    <row r="23" spans="1:14" ht="12.75">
      <c r="A23" s="454" t="s">
        <v>20</v>
      </c>
      <c r="B23" s="81" t="s">
        <v>94</v>
      </c>
      <c r="C23" s="91">
        <v>462</v>
      </c>
      <c r="D23" s="186">
        <f>(6.29+2.241+0.437+0.015)*1.075*1.2</f>
        <v>11.58807</v>
      </c>
      <c r="E23" s="472">
        <v>77</v>
      </c>
      <c r="F23" s="492">
        <v>52.47</v>
      </c>
      <c r="G23" s="223"/>
      <c r="H23" s="224"/>
      <c r="I23" s="9"/>
      <c r="J23" s="10"/>
      <c r="K23" s="9"/>
      <c r="L23" s="10"/>
      <c r="M23" s="9"/>
      <c r="N23" s="10"/>
    </row>
    <row r="24" spans="1:14" ht="12.75">
      <c r="A24" s="455"/>
      <c r="B24" s="84" t="s">
        <v>101</v>
      </c>
      <c r="C24" s="92">
        <v>83</v>
      </c>
      <c r="D24" s="187">
        <f>(4.04+0.747+0.437+0.015)*1.075*1.2</f>
        <v>6.75831</v>
      </c>
      <c r="E24" s="473"/>
      <c r="F24" s="493"/>
      <c r="G24" s="219"/>
      <c r="H24" s="220"/>
      <c r="I24" s="6"/>
      <c r="J24" s="7"/>
      <c r="K24" s="6"/>
      <c r="L24" s="7"/>
      <c r="M24" s="6"/>
      <c r="N24" s="7"/>
    </row>
    <row r="25" spans="1:14" ht="13.5" thickBot="1">
      <c r="A25" s="471"/>
      <c r="B25" s="82" t="s">
        <v>113</v>
      </c>
      <c r="C25" s="90">
        <v>21.1</v>
      </c>
      <c r="D25" s="189">
        <f>159.562*1.075*1.2</f>
        <v>205.83498</v>
      </c>
      <c r="E25" s="468"/>
      <c r="F25" s="505"/>
      <c r="G25" s="225"/>
      <c r="H25" s="226"/>
      <c r="I25" s="12"/>
      <c r="J25" s="13"/>
      <c r="K25" s="12"/>
      <c r="L25" s="13"/>
      <c r="M25" s="12"/>
      <c r="N25" s="13"/>
    </row>
    <row r="26" spans="1:14" ht="12.75">
      <c r="A26" s="454" t="s">
        <v>68</v>
      </c>
      <c r="B26" s="81" t="s">
        <v>94</v>
      </c>
      <c r="C26" s="91">
        <v>506</v>
      </c>
      <c r="D26" s="186">
        <f>(6.29+2.241+0.437+0.015)*1.075*1.2</f>
        <v>11.58807</v>
      </c>
      <c r="E26" s="472">
        <v>85</v>
      </c>
      <c r="F26" s="492">
        <v>52.47</v>
      </c>
      <c r="G26" s="223"/>
      <c r="H26" s="224"/>
      <c r="I26" s="9"/>
      <c r="J26" s="10"/>
      <c r="K26" s="9"/>
      <c r="L26" s="10"/>
      <c r="M26" s="9"/>
      <c r="N26" s="10"/>
    </row>
    <row r="27" spans="1:14" ht="12.75">
      <c r="A27" s="455"/>
      <c r="B27" s="84" t="s">
        <v>101</v>
      </c>
      <c r="C27" s="92">
        <v>97</v>
      </c>
      <c r="D27" s="187">
        <f>(4.04+0.747+0.437+0.015)*1.075*1.2</f>
        <v>6.75831</v>
      </c>
      <c r="E27" s="473"/>
      <c r="F27" s="493"/>
      <c r="G27" s="219"/>
      <c r="H27" s="220"/>
      <c r="I27" s="6"/>
      <c r="J27" s="7"/>
      <c r="K27" s="6"/>
      <c r="L27" s="7"/>
      <c r="M27" s="6"/>
      <c r="N27" s="7"/>
    </row>
    <row r="28" spans="1:14" ht="13.5" thickBot="1">
      <c r="A28" s="471"/>
      <c r="B28" s="82" t="s">
        <v>113</v>
      </c>
      <c r="C28" s="90">
        <v>21.1</v>
      </c>
      <c r="D28" s="189">
        <f>159.562*1.075*1.2</f>
        <v>205.83498</v>
      </c>
      <c r="E28" s="468"/>
      <c r="F28" s="505"/>
      <c r="G28" s="225"/>
      <c r="H28" s="226"/>
      <c r="I28" s="12"/>
      <c r="J28" s="13"/>
      <c r="K28" s="12"/>
      <c r="L28" s="13"/>
      <c r="M28" s="12"/>
      <c r="N28" s="13"/>
    </row>
    <row r="29" spans="1:14" ht="12.75">
      <c r="A29" s="454" t="s">
        <v>69</v>
      </c>
      <c r="B29" s="81" t="s">
        <v>94</v>
      </c>
      <c r="C29" s="91">
        <v>141</v>
      </c>
      <c r="D29" s="186">
        <f>(6.29+2.241+0.437+0.015)*1.075*1.2</f>
        <v>11.58807</v>
      </c>
      <c r="E29" s="472">
        <v>67</v>
      </c>
      <c r="F29" s="363">
        <v>52.47</v>
      </c>
      <c r="G29" s="223"/>
      <c r="H29" s="224"/>
      <c r="I29" s="9"/>
      <c r="J29" s="10"/>
      <c r="K29" s="9"/>
      <c r="L29" s="10"/>
      <c r="M29" s="9"/>
      <c r="N29" s="10"/>
    </row>
    <row r="30" spans="1:14" ht="12.75">
      <c r="A30" s="455"/>
      <c r="B30" s="84" t="s">
        <v>101</v>
      </c>
      <c r="C30" s="92">
        <v>80</v>
      </c>
      <c r="D30" s="187">
        <f>(4.04+0.747+0.437+0.015)*1.075*1.2</f>
        <v>6.75831</v>
      </c>
      <c r="E30" s="473"/>
      <c r="F30" s="478"/>
      <c r="G30" s="219"/>
      <c r="H30" s="220"/>
      <c r="I30" s="6"/>
      <c r="J30" s="7"/>
      <c r="K30" s="6"/>
      <c r="L30" s="7"/>
      <c r="M30" s="6"/>
      <c r="N30" s="7"/>
    </row>
    <row r="31" spans="1:14" ht="13.5" thickBot="1">
      <c r="A31" s="471"/>
      <c r="B31" s="82" t="s">
        <v>113</v>
      </c>
      <c r="C31" s="90">
        <v>21.1</v>
      </c>
      <c r="D31" s="189">
        <f>159.562*1.075*1.2</f>
        <v>205.83498</v>
      </c>
      <c r="E31" s="468"/>
      <c r="F31" s="364"/>
      <c r="G31" s="225"/>
      <c r="H31" s="226"/>
      <c r="I31" s="12"/>
      <c r="J31" s="13"/>
      <c r="K31" s="12"/>
      <c r="L31" s="13"/>
      <c r="M31" s="12"/>
      <c r="N31" s="13"/>
    </row>
    <row r="32" spans="1:14" ht="12.75">
      <c r="A32" s="454" t="s">
        <v>22</v>
      </c>
      <c r="B32" s="81" t="s">
        <v>94</v>
      </c>
      <c r="C32" s="91">
        <v>222</v>
      </c>
      <c r="D32" s="186">
        <f>(6.29+2.241+0.437+0.015)*1.075*1.2</f>
        <v>11.58807</v>
      </c>
      <c r="E32" s="472">
        <f>45</f>
        <v>45</v>
      </c>
      <c r="F32" s="363">
        <v>52.47</v>
      </c>
      <c r="G32" s="506"/>
      <c r="H32" s="509"/>
      <c r="I32" s="12"/>
      <c r="J32" s="13"/>
      <c r="K32" s="12"/>
      <c r="L32" s="13"/>
      <c r="M32" s="12"/>
      <c r="N32" s="13"/>
    </row>
    <row r="33" spans="1:14" ht="12.75">
      <c r="A33" s="455"/>
      <c r="B33" s="84" t="s">
        <v>101</v>
      </c>
      <c r="C33" s="92">
        <v>85</v>
      </c>
      <c r="D33" s="187">
        <f>(4.04+0.747+0.437+0.015)*1.075*1.2</f>
        <v>6.75831</v>
      </c>
      <c r="E33" s="473"/>
      <c r="F33" s="478"/>
      <c r="G33" s="507"/>
      <c r="H33" s="510"/>
      <c r="I33" s="12"/>
      <c r="J33" s="13"/>
      <c r="K33" s="12"/>
      <c r="L33" s="13"/>
      <c r="M33" s="12"/>
      <c r="N33" s="13"/>
    </row>
    <row r="34" spans="1:14" ht="13.5" thickBot="1">
      <c r="A34" s="471"/>
      <c r="B34" s="82" t="s">
        <v>113</v>
      </c>
      <c r="C34" s="90">
        <v>21.1</v>
      </c>
      <c r="D34" s="189">
        <f>159.562*1.075*1.2</f>
        <v>205.83498</v>
      </c>
      <c r="E34" s="468"/>
      <c r="F34" s="364"/>
      <c r="G34" s="508"/>
      <c r="H34" s="511"/>
      <c r="I34" s="4"/>
      <c r="J34" s="5"/>
      <c r="K34" s="4"/>
      <c r="L34" s="5"/>
      <c r="M34" s="4"/>
      <c r="N34" s="5"/>
    </row>
    <row r="35" spans="1:14" ht="12.75">
      <c r="A35" s="454" t="s">
        <v>23</v>
      </c>
      <c r="B35" s="86" t="s">
        <v>94</v>
      </c>
      <c r="C35" s="91">
        <v>660</v>
      </c>
      <c r="D35" s="186">
        <f>(9.7+2.241+0.437+0.015)*1.075*1.2</f>
        <v>15.986969999999998</v>
      </c>
      <c r="E35" s="472">
        <v>29</v>
      </c>
      <c r="F35" s="363">
        <v>58.17</v>
      </c>
      <c r="G35" s="225"/>
      <c r="H35" s="226"/>
      <c r="I35" s="4"/>
      <c r="J35" s="5"/>
      <c r="K35" s="4"/>
      <c r="L35" s="5"/>
      <c r="M35" s="4"/>
      <c r="N35" s="5"/>
    </row>
    <row r="36" spans="1:14" ht="12.75">
      <c r="A36" s="455"/>
      <c r="B36" s="82" t="s">
        <v>95</v>
      </c>
      <c r="C36" s="92">
        <v>95</v>
      </c>
      <c r="D36" s="187">
        <f>(6.15+0.747+0.437+0.015)*1.075*1.2</f>
        <v>9.48021</v>
      </c>
      <c r="E36" s="473"/>
      <c r="F36" s="478"/>
      <c r="G36" s="225"/>
      <c r="H36" s="226"/>
      <c r="I36" s="4"/>
      <c r="J36" s="5"/>
      <c r="K36" s="4"/>
      <c r="L36" s="5"/>
      <c r="M36" s="4"/>
      <c r="N36" s="5"/>
    </row>
    <row r="37" spans="1:14" ht="13.5" thickBot="1">
      <c r="A37" s="471"/>
      <c r="B37" s="82" t="s">
        <v>107</v>
      </c>
      <c r="C37" s="90">
        <v>21.1</v>
      </c>
      <c r="D37" s="189">
        <f>159.562*1.075*1.2</f>
        <v>205.83498</v>
      </c>
      <c r="E37" s="468"/>
      <c r="F37" s="364"/>
      <c r="G37" s="229"/>
      <c r="H37" s="230"/>
      <c r="I37" s="4"/>
      <c r="J37" s="5"/>
      <c r="K37" s="4"/>
      <c r="L37" s="5"/>
      <c r="M37" s="4"/>
      <c r="N37" s="5"/>
    </row>
    <row r="38" spans="1:14" ht="12.75">
      <c r="A38" s="454" t="s">
        <v>24</v>
      </c>
      <c r="B38" s="86" t="s">
        <v>94</v>
      </c>
      <c r="C38" s="168">
        <v>1966</v>
      </c>
      <c r="D38" s="186">
        <f>(9.7+2.473+0.437+0.015)*1.075*1.2</f>
        <v>16.286249999999995</v>
      </c>
      <c r="E38" s="472">
        <v>39</v>
      </c>
      <c r="F38" s="363">
        <v>58.17</v>
      </c>
      <c r="G38" s="229"/>
      <c r="H38" s="230"/>
      <c r="I38" s="4"/>
      <c r="J38" s="5"/>
      <c r="K38" s="4"/>
      <c r="L38" s="5"/>
      <c r="M38" s="4"/>
      <c r="N38" s="5"/>
    </row>
    <row r="39" spans="1:14" ht="12.75">
      <c r="A39" s="455"/>
      <c r="B39" s="82" t="s">
        <v>95</v>
      </c>
      <c r="C39" s="92">
        <v>383</v>
      </c>
      <c r="D39" s="187">
        <f>(6.15+0.824+0.437+0.015)*1.075*1.2</f>
        <v>9.57954</v>
      </c>
      <c r="E39" s="473"/>
      <c r="F39" s="478"/>
      <c r="G39" s="229"/>
      <c r="H39" s="230"/>
      <c r="I39" s="4"/>
      <c r="J39" s="5"/>
      <c r="K39" s="4"/>
      <c r="L39" s="5"/>
      <c r="M39" s="4"/>
      <c r="N39" s="5"/>
    </row>
    <row r="40" spans="1:14" ht="13.5" thickBot="1">
      <c r="A40" s="471"/>
      <c r="B40" s="82" t="s">
        <v>107</v>
      </c>
      <c r="C40" s="90">
        <v>21.1</v>
      </c>
      <c r="D40" s="189">
        <f>173.626*1.075*1.2</f>
        <v>223.97754</v>
      </c>
      <c r="E40" s="468"/>
      <c r="F40" s="364"/>
      <c r="G40" s="229"/>
      <c r="H40" s="230"/>
      <c r="I40" s="4"/>
      <c r="J40" s="5"/>
      <c r="K40" s="4"/>
      <c r="L40" s="5"/>
      <c r="M40" s="4"/>
      <c r="N40" s="5"/>
    </row>
    <row r="41" spans="1:14" ht="12.75">
      <c r="A41" s="454" t="s">
        <v>25</v>
      </c>
      <c r="B41" s="86" t="s">
        <v>94</v>
      </c>
      <c r="C41" s="91">
        <v>2795</v>
      </c>
      <c r="D41" s="186">
        <f>(9.7+2.473+0.437+0.015)*1.075*1.2</f>
        <v>16.286249999999995</v>
      </c>
      <c r="E41" s="472">
        <v>34</v>
      </c>
      <c r="F41" s="363">
        <v>58.17</v>
      </c>
      <c r="G41" s="229"/>
      <c r="H41" s="230"/>
      <c r="I41" s="4"/>
      <c r="J41" s="5"/>
      <c r="K41" s="4"/>
      <c r="L41" s="5"/>
      <c r="M41" s="4"/>
      <c r="N41" s="5"/>
    </row>
    <row r="42" spans="1:14" ht="12.75">
      <c r="A42" s="455"/>
      <c r="B42" s="82" t="s">
        <v>95</v>
      </c>
      <c r="C42" s="92">
        <v>1121</v>
      </c>
      <c r="D42" s="187">
        <f>(6.15+0.824+0.437+0.015)*1.075*1.2</f>
        <v>9.57954</v>
      </c>
      <c r="E42" s="473"/>
      <c r="F42" s="478"/>
      <c r="G42" s="229"/>
      <c r="H42" s="230"/>
      <c r="I42" s="4"/>
      <c r="J42" s="5"/>
      <c r="K42" s="4"/>
      <c r="L42" s="5"/>
      <c r="M42" s="4"/>
      <c r="N42" s="5"/>
    </row>
    <row r="43" spans="1:14" ht="13.5" thickBot="1">
      <c r="A43" s="471"/>
      <c r="B43" s="82" t="s">
        <v>107</v>
      </c>
      <c r="C43" s="90">
        <v>21.1</v>
      </c>
      <c r="D43" s="189">
        <f>173.626*1.075*1.2</f>
        <v>223.97754</v>
      </c>
      <c r="E43" s="468"/>
      <c r="F43" s="364"/>
      <c r="G43" s="229"/>
      <c r="H43" s="230"/>
      <c r="I43" s="4"/>
      <c r="J43" s="5"/>
      <c r="K43" s="4"/>
      <c r="L43" s="5"/>
      <c r="M43" s="4"/>
      <c r="N43" s="5"/>
    </row>
    <row r="44" spans="1:14" ht="12.75">
      <c r="A44" s="454" t="s">
        <v>26</v>
      </c>
      <c r="B44" s="86" t="s">
        <v>94</v>
      </c>
      <c r="C44" s="168"/>
      <c r="D44" s="267"/>
      <c r="E44" s="472"/>
      <c r="F44" s="363"/>
      <c r="G44" s="227"/>
      <c r="H44" s="228"/>
      <c r="I44" s="9"/>
      <c r="J44" s="10"/>
      <c r="K44" s="9"/>
      <c r="L44" s="10"/>
      <c r="M44" s="9"/>
      <c r="N44" s="10"/>
    </row>
    <row r="45" spans="1:14" ht="12.75">
      <c r="A45" s="455"/>
      <c r="B45" s="82" t="s">
        <v>95</v>
      </c>
      <c r="C45" s="93"/>
      <c r="D45" s="268"/>
      <c r="E45" s="473"/>
      <c r="F45" s="478"/>
      <c r="G45" s="227"/>
      <c r="H45" s="228"/>
      <c r="I45" s="9"/>
      <c r="J45" s="10"/>
      <c r="K45" s="9"/>
      <c r="L45" s="10"/>
      <c r="M45" s="9"/>
      <c r="N45" s="10"/>
    </row>
    <row r="46" spans="1:14" ht="13.5" thickBot="1">
      <c r="A46" s="504"/>
      <c r="B46" s="82" t="s">
        <v>107</v>
      </c>
      <c r="C46" s="90"/>
      <c r="D46" s="269"/>
      <c r="E46" s="467"/>
      <c r="F46" s="374"/>
      <c r="G46" s="277"/>
      <c r="H46" s="278"/>
      <c r="I46" s="2"/>
      <c r="J46" s="3"/>
      <c r="K46" s="2"/>
      <c r="L46" s="3"/>
      <c r="M46" s="2"/>
      <c r="N46" s="3"/>
    </row>
    <row r="47" spans="1:14" ht="17.25" customHeight="1" thickTop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27" customFormat="1" ht="12.75">
      <c r="A48" s="403" t="s">
        <v>32</v>
      </c>
      <c r="B48" s="403"/>
      <c r="C48" s="403"/>
      <c r="D48" s="404"/>
      <c r="E48" s="23"/>
      <c r="F48" s="23"/>
      <c r="G48" s="23"/>
      <c r="H48" s="23"/>
      <c r="I48" s="23"/>
      <c r="J48" s="23"/>
      <c r="K48" s="23"/>
      <c r="L48" s="23"/>
      <c r="M48" s="23"/>
      <c r="N48" s="23"/>
    </row>
    <row r="49" spans="1:14" s="27" customFormat="1" ht="12.75">
      <c r="A49" s="23"/>
      <c r="B49" s="22" t="s">
        <v>33</v>
      </c>
      <c r="C49" s="22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</row>
    <row r="50" spans="1:14" s="27" customFormat="1" ht="12.75">
      <c r="A50" s="23"/>
      <c r="B50" s="403" t="s">
        <v>35</v>
      </c>
      <c r="C50" s="403"/>
      <c r="D50" s="403"/>
      <c r="E50" s="404"/>
      <c r="F50" s="23"/>
      <c r="G50" s="23"/>
      <c r="H50" s="23"/>
      <c r="I50" s="23"/>
      <c r="J50" s="23"/>
      <c r="K50" s="23"/>
      <c r="L50" s="23"/>
      <c r="M50" s="23"/>
      <c r="N50" s="23"/>
    </row>
    <row r="51" spans="1:14" s="27" customFormat="1" ht="12.75">
      <c r="A51" s="23"/>
      <c r="B51" s="403" t="s">
        <v>34</v>
      </c>
      <c r="C51" s="403"/>
      <c r="D51" s="403"/>
      <c r="E51" s="23"/>
      <c r="F51" s="23"/>
      <c r="G51" s="23"/>
      <c r="H51" s="23"/>
      <c r="I51" s="23"/>
      <c r="J51" s="23"/>
      <c r="K51" s="23"/>
      <c r="L51" s="23"/>
      <c r="M51" s="23"/>
      <c r="N51" s="23"/>
    </row>
    <row r="52" spans="1:14" ht="14.25">
      <c r="A52" s="16"/>
      <c r="B52" s="16"/>
      <c r="C52" s="16"/>
      <c r="D52" s="16"/>
      <c r="E52" s="16"/>
      <c r="F52" s="16"/>
      <c r="G52" s="16"/>
      <c r="H52" s="1"/>
      <c r="I52" s="1"/>
      <c r="J52" s="1"/>
      <c r="K52" s="1"/>
      <c r="L52" s="1"/>
      <c r="M52" s="1"/>
      <c r="N52" s="1"/>
    </row>
    <row r="53" spans="1:7" ht="14.25">
      <c r="A53" s="20"/>
      <c r="B53" s="20"/>
      <c r="C53" s="20"/>
      <c r="D53" s="20"/>
      <c r="E53" s="20"/>
      <c r="F53" s="20"/>
      <c r="G53" s="20"/>
    </row>
    <row r="54" spans="1:7" ht="14.25">
      <c r="A54" s="20"/>
      <c r="B54" s="20"/>
      <c r="C54" s="20"/>
      <c r="D54" s="20"/>
      <c r="E54" s="20"/>
      <c r="F54" s="20"/>
      <c r="G54" s="20"/>
    </row>
  </sheetData>
  <sheetProtection/>
  <mergeCells count="57">
    <mergeCell ref="B50:E50"/>
    <mergeCell ref="A11:A13"/>
    <mergeCell ref="A14:A16"/>
    <mergeCell ref="E11:E13"/>
    <mergeCell ref="A20:A22"/>
    <mergeCell ref="E20:E22"/>
    <mergeCell ref="A17:A19"/>
    <mergeCell ref="E17:E19"/>
    <mergeCell ref="A23:A25"/>
    <mergeCell ref="E23:E25"/>
    <mergeCell ref="B51:D51"/>
    <mergeCell ref="A48:D48"/>
    <mergeCell ref="A26:A28"/>
    <mergeCell ref="E26:E28"/>
    <mergeCell ref="A29:A31"/>
    <mergeCell ref="E29:E31"/>
    <mergeCell ref="A38:A40"/>
    <mergeCell ref="E38:E40"/>
    <mergeCell ref="A32:A34"/>
    <mergeCell ref="A35:A37"/>
    <mergeCell ref="A6:N7"/>
    <mergeCell ref="A8:A10"/>
    <mergeCell ref="B8:D8"/>
    <mergeCell ref="E8:F8"/>
    <mergeCell ref="G8:N8"/>
    <mergeCell ref="D9:D10"/>
    <mergeCell ref="B9:C10"/>
    <mergeCell ref="E9:E10"/>
    <mergeCell ref="I9:J9"/>
    <mergeCell ref="F11:F13"/>
    <mergeCell ref="E14:E16"/>
    <mergeCell ref="F14:F16"/>
    <mergeCell ref="M9:N9"/>
    <mergeCell ref="F35:F37"/>
    <mergeCell ref="I1:K1"/>
    <mergeCell ref="I2:K2"/>
    <mergeCell ref="I3:K3"/>
    <mergeCell ref="K9:L9"/>
    <mergeCell ref="G9:H9"/>
    <mergeCell ref="F9:F10"/>
    <mergeCell ref="G32:G34"/>
    <mergeCell ref="H32:H34"/>
    <mergeCell ref="F23:F25"/>
    <mergeCell ref="F17:F19"/>
    <mergeCell ref="F20:F22"/>
    <mergeCell ref="F26:F28"/>
    <mergeCell ref="F29:F31"/>
    <mergeCell ref="E32:E34"/>
    <mergeCell ref="F32:F34"/>
    <mergeCell ref="A44:A46"/>
    <mergeCell ref="E44:E46"/>
    <mergeCell ref="F44:F46"/>
    <mergeCell ref="E41:E43"/>
    <mergeCell ref="F41:F43"/>
    <mergeCell ref="A41:A43"/>
    <mergeCell ref="F38:F40"/>
    <mergeCell ref="E35:E37"/>
  </mergeCells>
  <printOptions/>
  <pageMargins left="0.32" right="0.24" top="0.37" bottom="0.59" header="0.5" footer="0.39"/>
  <pageSetup horizontalDpi="600" verticalDpi="600" orientation="landscape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Krusevac</dc:creator>
  <cp:keywords/>
  <dc:description/>
  <cp:lastModifiedBy>ivana.aksentijevic</cp:lastModifiedBy>
  <cp:lastPrinted>2018-05-08T05:20:34Z</cp:lastPrinted>
  <dcterms:created xsi:type="dcterms:W3CDTF">2013-02-08T07:46:47Z</dcterms:created>
  <dcterms:modified xsi:type="dcterms:W3CDTF">2021-12-20T12:45:06Z</dcterms:modified>
  <cp:category/>
  <cp:version/>
  <cp:contentType/>
  <cp:contentStatus/>
</cp:coreProperties>
</file>