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4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<sst xmlns="http://schemas.openxmlformats.org/spreadsheetml/2006/main" count="1255" uniqueCount="117">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</sst>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4" fontId="25" fillId="0" borderId="84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3">
      <selection activeCell="E31" sqref="E31:E32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4.2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4.25" customHeight="1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4.25" customHeight="1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9" t="s">
        <v>27</v>
      </c>
      <c r="H9" s="32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4.25" customHeight="1" thickBot="1">
      <c r="A10" s="310"/>
      <c r="B10" s="321"/>
      <c r="C10" s="322"/>
      <c r="D10" s="335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7" t="s">
        <v>16</v>
      </c>
      <c r="B11" s="94" t="s">
        <v>94</v>
      </c>
      <c r="C11" s="207">
        <f>3880+912</f>
        <v>4792</v>
      </c>
      <c r="D11" s="213">
        <f>8.588*1.075*1.2</f>
        <v>11.07852</v>
      </c>
      <c r="E11" s="348">
        <f>415+11</f>
        <v>426</v>
      </c>
      <c r="F11" s="334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44"/>
      <c r="B12" s="95" t="s">
        <v>111</v>
      </c>
      <c r="C12" s="90">
        <f>17.25*2</f>
        <v>34.5</v>
      </c>
      <c r="D12" s="214">
        <f>46.514*1.075*1.2</f>
        <v>60.00306</v>
      </c>
      <c r="E12" s="339"/>
      <c r="F12" s="337"/>
      <c r="G12" s="253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40" t="s">
        <v>17</v>
      </c>
      <c r="B13" s="97" t="s">
        <v>94</v>
      </c>
      <c r="C13" s="133">
        <f>3600+756</f>
        <v>4356</v>
      </c>
      <c r="D13" s="213">
        <f>8.588*1.075*1.2</f>
        <v>11.07852</v>
      </c>
      <c r="E13" s="338">
        <f>300+10</f>
        <v>310</v>
      </c>
      <c r="F13" s="336">
        <v>22.54</v>
      </c>
      <c r="G13" s="153">
        <v>89622</v>
      </c>
      <c r="H13" s="8">
        <v>5.81</v>
      </c>
      <c r="I13" s="14"/>
      <c r="J13" s="15"/>
      <c r="K13" s="14"/>
      <c r="L13" s="15"/>
      <c r="M13" s="14"/>
      <c r="N13" s="15"/>
    </row>
    <row r="14" spans="1:14" ht="14.25" customHeight="1">
      <c r="A14" s="344"/>
      <c r="B14" s="95" t="s">
        <v>111</v>
      </c>
      <c r="C14" s="90">
        <v>34.5</v>
      </c>
      <c r="D14" s="214">
        <f>46.514*1.075*1.2</f>
        <v>60.00306</v>
      </c>
      <c r="E14" s="339"/>
      <c r="F14" s="337"/>
      <c r="G14" s="253">
        <v>2044.8</v>
      </c>
      <c r="H14" s="8">
        <v>47.23</v>
      </c>
      <c r="I14" s="21"/>
      <c r="J14" s="22"/>
      <c r="K14" s="21"/>
      <c r="L14" s="22"/>
      <c r="M14" s="21"/>
      <c r="N14" s="22"/>
    </row>
    <row r="15" spans="1:14" ht="14.25" customHeight="1">
      <c r="A15" s="340" t="s">
        <v>18</v>
      </c>
      <c r="B15" s="99" t="s">
        <v>94</v>
      </c>
      <c r="C15" s="133">
        <f>4160+876</f>
        <v>5036</v>
      </c>
      <c r="D15" s="213">
        <f>8.588*1.075*1.2</f>
        <v>11.07852</v>
      </c>
      <c r="E15" s="338">
        <f>379+25</f>
        <v>404</v>
      </c>
      <c r="F15" s="336">
        <v>22.54</v>
      </c>
      <c r="G15" s="153">
        <v>77787</v>
      </c>
      <c r="H15" s="8">
        <v>5.81</v>
      </c>
      <c r="I15" s="14"/>
      <c r="J15" s="15"/>
      <c r="K15" s="14"/>
      <c r="L15" s="15"/>
      <c r="M15" s="14"/>
      <c r="N15" s="15"/>
    </row>
    <row r="16" spans="1:14" ht="14.25" customHeight="1">
      <c r="A16" s="344"/>
      <c r="B16" s="95" t="s">
        <v>111</v>
      </c>
      <c r="C16" s="90">
        <v>34.5</v>
      </c>
      <c r="D16" s="214">
        <f>46.514*1.075*1.2</f>
        <v>60.00306</v>
      </c>
      <c r="E16" s="339"/>
      <c r="F16" s="337"/>
      <c r="G16" s="253">
        <v>2044.8</v>
      </c>
      <c r="H16" s="8">
        <v>47.23</v>
      </c>
      <c r="I16" s="21"/>
      <c r="J16" s="22"/>
      <c r="K16" s="21"/>
      <c r="L16" s="22"/>
      <c r="M16" s="21"/>
      <c r="N16" s="22"/>
    </row>
    <row r="17" spans="1:14" ht="14.25" customHeight="1">
      <c r="A17" s="340" t="s">
        <v>19</v>
      </c>
      <c r="B17" s="99" t="s">
        <v>94</v>
      </c>
      <c r="C17" s="133">
        <f>3720+854</f>
        <v>4574</v>
      </c>
      <c r="D17" s="213">
        <v>11.079</v>
      </c>
      <c r="E17" s="338">
        <f>284+17</f>
        <v>301</v>
      </c>
      <c r="F17" s="336">
        <v>22.54</v>
      </c>
      <c r="G17" s="153">
        <v>21004</v>
      </c>
      <c r="H17" s="8">
        <v>5.81</v>
      </c>
      <c r="I17" s="14"/>
      <c r="J17" s="15"/>
      <c r="K17" s="14"/>
      <c r="L17" s="15"/>
      <c r="M17" s="14"/>
      <c r="N17" s="15"/>
    </row>
    <row r="18" spans="1:14" ht="14.25" customHeight="1">
      <c r="A18" s="344"/>
      <c r="B18" s="95" t="s">
        <v>111</v>
      </c>
      <c r="C18" s="90">
        <v>34.5</v>
      </c>
      <c r="D18" s="214">
        <v>60.003</v>
      </c>
      <c r="E18" s="339"/>
      <c r="F18" s="337"/>
      <c r="G18" s="253">
        <v>2044.8</v>
      </c>
      <c r="H18" s="8">
        <v>47.23</v>
      </c>
      <c r="I18" s="21"/>
      <c r="J18" s="22"/>
      <c r="K18" s="21"/>
      <c r="L18" s="22"/>
      <c r="M18" s="21"/>
      <c r="N18" s="22"/>
    </row>
    <row r="19" spans="1:14" ht="14.25" customHeight="1">
      <c r="A19" s="340" t="s">
        <v>20</v>
      </c>
      <c r="B19" s="99" t="s">
        <v>94</v>
      </c>
      <c r="C19" s="132">
        <f>3360+795</f>
        <v>4155</v>
      </c>
      <c r="D19" s="213">
        <v>11.079</v>
      </c>
      <c r="E19" s="338">
        <f>334+25</f>
        <v>359</v>
      </c>
      <c r="F19" s="336">
        <v>22.54</v>
      </c>
      <c r="G19" s="153">
        <v>0</v>
      </c>
      <c r="H19" s="8">
        <v>5.81</v>
      </c>
      <c r="I19" s="14"/>
      <c r="J19" s="15"/>
      <c r="K19" s="14"/>
      <c r="L19" s="15"/>
      <c r="M19" s="14"/>
      <c r="N19" s="15"/>
    </row>
    <row r="20" spans="1:14" ht="14.25" customHeight="1">
      <c r="A20" s="344"/>
      <c r="B20" s="95" t="s">
        <v>111</v>
      </c>
      <c r="C20" s="90">
        <v>34.5</v>
      </c>
      <c r="D20" s="214">
        <v>60.003</v>
      </c>
      <c r="E20" s="339"/>
      <c r="F20" s="337"/>
      <c r="G20" s="253">
        <v>2044.8</v>
      </c>
      <c r="H20" s="8">
        <v>47.23</v>
      </c>
      <c r="I20" s="21"/>
      <c r="J20" s="22"/>
      <c r="K20" s="21"/>
      <c r="L20" s="22"/>
      <c r="M20" s="21"/>
      <c r="N20" s="22"/>
    </row>
    <row r="21" spans="1:14" ht="14.25" customHeight="1">
      <c r="A21" s="340" t="s">
        <v>68</v>
      </c>
      <c r="B21" s="99" t="s">
        <v>94</v>
      </c>
      <c r="C21" s="132">
        <f>3080+1146</f>
        <v>4226</v>
      </c>
      <c r="D21" s="213">
        <v>11.079</v>
      </c>
      <c r="E21" s="338">
        <f>342+27</f>
        <v>369</v>
      </c>
      <c r="F21" s="336">
        <v>22.54</v>
      </c>
      <c r="G21" s="153">
        <v>0</v>
      </c>
      <c r="H21" s="8">
        <v>5.81</v>
      </c>
      <c r="I21" s="14"/>
      <c r="J21" s="15"/>
      <c r="K21" s="14"/>
      <c r="L21" s="15"/>
      <c r="M21" s="14"/>
      <c r="N21" s="15"/>
    </row>
    <row r="22" spans="1:14" ht="14.25" customHeight="1">
      <c r="A22" s="344"/>
      <c r="B22" s="95" t="s">
        <v>111</v>
      </c>
      <c r="C22" s="90">
        <v>34.5</v>
      </c>
      <c r="D22" s="214">
        <v>60.003</v>
      </c>
      <c r="E22" s="339"/>
      <c r="F22" s="337"/>
      <c r="G22" s="253">
        <v>2044.8</v>
      </c>
      <c r="H22" s="8">
        <v>47.23</v>
      </c>
      <c r="I22" s="21"/>
      <c r="J22" s="22"/>
      <c r="K22" s="21"/>
      <c r="L22" s="22"/>
      <c r="M22" s="21"/>
      <c r="N22" s="22"/>
    </row>
    <row r="23" spans="1:14" ht="14.25" customHeight="1">
      <c r="A23" s="340" t="s">
        <v>69</v>
      </c>
      <c r="B23" s="99" t="s">
        <v>94</v>
      </c>
      <c r="C23" s="132">
        <f>2040+1000</f>
        <v>3040</v>
      </c>
      <c r="D23" s="213">
        <v>11.079</v>
      </c>
      <c r="E23" s="338">
        <f>362+5</f>
        <v>367</v>
      </c>
      <c r="F23" s="336">
        <v>22.54</v>
      </c>
      <c r="G23" s="153">
        <v>0</v>
      </c>
      <c r="H23" s="8">
        <v>5.81</v>
      </c>
      <c r="I23" s="14"/>
      <c r="J23" s="15"/>
      <c r="K23" s="14"/>
      <c r="L23" s="15"/>
      <c r="M23" s="14"/>
      <c r="N23" s="15"/>
    </row>
    <row r="24" spans="1:14" ht="14.25" customHeight="1">
      <c r="A24" s="344"/>
      <c r="B24" s="95" t="s">
        <v>95</v>
      </c>
      <c r="C24" s="90">
        <v>34.5</v>
      </c>
      <c r="D24" s="214">
        <v>60.003</v>
      </c>
      <c r="E24" s="339"/>
      <c r="F24" s="337"/>
      <c r="G24" s="253">
        <v>2044.8</v>
      </c>
      <c r="H24" s="8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340" t="s">
        <v>22</v>
      </c>
      <c r="B25" s="99" t="s">
        <v>94</v>
      </c>
      <c r="C25" s="132">
        <f>2560+1491</f>
        <v>4051</v>
      </c>
      <c r="D25" s="213">
        <v>11.079</v>
      </c>
      <c r="E25" s="338">
        <f>422+22</f>
        <v>444</v>
      </c>
      <c r="F25" s="336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4.25" customHeight="1">
      <c r="A26" s="344"/>
      <c r="B26" s="95" t="s">
        <v>95</v>
      </c>
      <c r="C26" s="90">
        <v>34.5</v>
      </c>
      <c r="D26" s="214">
        <v>60.003</v>
      </c>
      <c r="E26" s="339"/>
      <c r="F26" s="337"/>
      <c r="G26" s="12">
        <v>2044.8</v>
      </c>
      <c r="H26" s="22">
        <v>47.23</v>
      </c>
      <c r="I26" s="4"/>
      <c r="J26" s="5"/>
      <c r="K26" s="4"/>
      <c r="L26" s="5"/>
      <c r="M26" s="4"/>
      <c r="N26" s="5"/>
    </row>
    <row r="27" spans="1:14" ht="14.25" customHeight="1">
      <c r="A27" s="340" t="s">
        <v>23</v>
      </c>
      <c r="B27" s="99" t="s">
        <v>94</v>
      </c>
      <c r="C27" s="133">
        <f>3160+970</f>
        <v>4130</v>
      </c>
      <c r="D27" s="213">
        <f>(6.71+2.745+0.093)*1.075*1.2</f>
        <v>12.316919999999998</v>
      </c>
      <c r="E27" s="338">
        <f>367+11</f>
        <v>378</v>
      </c>
      <c r="F27" s="336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4.25" customHeight="1">
      <c r="A28" s="344"/>
      <c r="B28" s="95" t="s">
        <v>95</v>
      </c>
      <c r="C28" s="90">
        <v>34.5</v>
      </c>
      <c r="D28" s="214">
        <f>46.514*1.075*1.2</f>
        <v>60.00306</v>
      </c>
      <c r="E28" s="339"/>
      <c r="F28" s="337"/>
      <c r="G28" s="12">
        <v>2044.8</v>
      </c>
      <c r="H28" s="22">
        <v>47.23</v>
      </c>
      <c r="I28" s="4"/>
      <c r="J28" s="5"/>
      <c r="K28" s="4"/>
      <c r="L28" s="5"/>
      <c r="M28" s="4"/>
      <c r="N28" s="5"/>
    </row>
    <row r="29" spans="1:14" ht="14.25" customHeight="1">
      <c r="A29" s="340" t="s">
        <v>24</v>
      </c>
      <c r="B29" s="99" t="s">
        <v>94</v>
      </c>
      <c r="C29" s="133">
        <f>3960+1178</f>
        <v>5138</v>
      </c>
      <c r="D29" s="213">
        <v>12.317</v>
      </c>
      <c r="E29" s="345">
        <f>365+13</f>
        <v>378</v>
      </c>
      <c r="F29" s="336">
        <v>22.54</v>
      </c>
      <c r="G29" s="25">
        <v>13595</v>
      </c>
      <c r="H29" s="15">
        <v>5.81</v>
      </c>
      <c r="I29" s="4"/>
      <c r="J29" s="5"/>
      <c r="K29" s="4"/>
      <c r="L29" s="5"/>
      <c r="M29" s="4"/>
      <c r="N29" s="5"/>
    </row>
    <row r="30" spans="1:14" ht="14.25" customHeight="1">
      <c r="A30" s="344"/>
      <c r="B30" s="95" t="s">
        <v>95</v>
      </c>
      <c r="C30" s="90">
        <v>34.5</v>
      </c>
      <c r="D30" s="214">
        <v>60.003</v>
      </c>
      <c r="E30" s="346"/>
      <c r="F30" s="337"/>
      <c r="G30" s="12">
        <v>2044.8</v>
      </c>
      <c r="H30" s="22">
        <v>47.23</v>
      </c>
      <c r="I30" s="4"/>
      <c r="J30" s="5"/>
      <c r="K30" s="4"/>
      <c r="L30" s="5"/>
      <c r="M30" s="4"/>
      <c r="N30" s="5"/>
    </row>
    <row r="31" spans="1:14" ht="14.25" customHeight="1">
      <c r="A31" s="340" t="s">
        <v>25</v>
      </c>
      <c r="B31" s="99" t="s">
        <v>94</v>
      </c>
      <c r="C31" s="133"/>
      <c r="D31" s="213"/>
      <c r="E31" s="345"/>
      <c r="F31" s="336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44"/>
      <c r="B32" s="95" t="s">
        <v>95</v>
      </c>
      <c r="C32" s="90"/>
      <c r="D32" s="214"/>
      <c r="E32" s="346"/>
      <c r="F32" s="337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40" t="s">
        <v>26</v>
      </c>
      <c r="B33" s="99" t="s">
        <v>94</v>
      </c>
      <c r="C33" s="133"/>
      <c r="D33" s="213"/>
      <c r="E33" s="338"/>
      <c r="F33" s="336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41"/>
      <c r="B34" s="101" t="s">
        <v>95</v>
      </c>
      <c r="C34" s="90"/>
      <c r="D34" s="214"/>
      <c r="E34" s="342"/>
      <c r="F34" s="343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3" t="s">
        <v>32</v>
      </c>
      <c r="B36" s="323"/>
      <c r="C36" s="323"/>
      <c r="D36" s="324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3" t="s">
        <v>35</v>
      </c>
      <c r="C38" s="323"/>
      <c r="D38" s="323"/>
      <c r="E38" s="324"/>
      <c r="F38" s="33"/>
      <c r="I38" s="242"/>
    </row>
    <row r="39" spans="1:9" ht="14.25" customHeight="1">
      <c r="A39" s="33"/>
      <c r="B39" s="323" t="s">
        <v>34</v>
      </c>
      <c r="C39" s="323"/>
      <c r="D39" s="323"/>
      <c r="E39" s="33"/>
      <c r="F39" s="33"/>
      <c r="I39" s="242"/>
    </row>
    <row r="40" spans="1:9" ht="14.25" customHeight="1">
      <c r="A40" s="33"/>
      <c r="B40" s="33"/>
      <c r="C40" s="33"/>
      <c r="D40" s="33"/>
      <c r="E40" s="33"/>
      <c r="F40" s="33"/>
      <c r="I40" s="242"/>
    </row>
    <row r="41" ht="14.25" customHeight="1">
      <c r="I41" s="242"/>
    </row>
    <row r="42" ht="14.25" customHeight="1">
      <c r="I42" s="242"/>
    </row>
    <row r="43" ht="14.25" customHeight="1">
      <c r="I43" s="242"/>
    </row>
    <row r="44" ht="14.25" customHeight="1">
      <c r="I44" s="242"/>
    </row>
    <row r="45" ht="14.25" customHeight="1">
      <c r="I45" s="242"/>
    </row>
    <row r="46" ht="14.25" customHeight="1">
      <c r="I46" s="242"/>
    </row>
    <row r="47" ht="14.25" customHeight="1">
      <c r="I47" s="242"/>
    </row>
    <row r="48" ht="14.25" customHeight="1">
      <c r="I48" s="242"/>
    </row>
    <row r="49" ht="14.25" customHeight="1">
      <c r="I49" s="242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2">
      <selection activeCell="I38" sqref="I38:I40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9" t="s">
        <v>27</v>
      </c>
      <c r="H9" s="320"/>
      <c r="I9" s="313" t="s">
        <v>98</v>
      </c>
      <c r="J9" s="314"/>
      <c r="K9" s="313" t="s">
        <v>13</v>
      </c>
      <c r="L9" s="468"/>
      <c r="M9" s="461" t="s">
        <v>14</v>
      </c>
      <c r="N9" s="462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15" t="s">
        <v>9</v>
      </c>
      <c r="I10" s="123" t="s">
        <v>99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31" t="s">
        <v>16</v>
      </c>
      <c r="B11" s="61" t="s">
        <v>94</v>
      </c>
      <c r="C11" s="87">
        <v>4770</v>
      </c>
      <c r="D11" s="217">
        <f>9.621*1.075*1.2</f>
        <v>12.41109</v>
      </c>
      <c r="E11" s="311">
        <v>44</v>
      </c>
      <c r="F11" s="465">
        <v>22.54</v>
      </c>
      <c r="G11" s="124"/>
      <c r="H11" s="125"/>
      <c r="I11" s="466">
        <f>5937+200</f>
        <v>6137</v>
      </c>
      <c r="J11" s="463">
        <f>122.45*1.2</f>
        <v>146.94</v>
      </c>
      <c r="K11" s="85"/>
      <c r="L11" s="163"/>
      <c r="M11" s="84"/>
      <c r="N11" s="120"/>
    </row>
    <row r="12" spans="1:14" ht="15" customHeight="1">
      <c r="A12" s="398"/>
      <c r="B12" s="65" t="s">
        <v>95</v>
      </c>
      <c r="C12" s="107">
        <v>720</v>
      </c>
      <c r="D12" s="221">
        <f>4.927*1.075*1.2</f>
        <v>6.355829999999998</v>
      </c>
      <c r="E12" s="413"/>
      <c r="F12" s="444"/>
      <c r="G12" s="126"/>
      <c r="H12" s="127"/>
      <c r="I12" s="467"/>
      <c r="J12" s="464"/>
      <c r="K12" s="85"/>
      <c r="L12" s="163"/>
      <c r="M12" s="84"/>
      <c r="N12" s="120"/>
    </row>
    <row r="13" spans="1:14" ht="15" customHeight="1" thickBot="1">
      <c r="A13" s="398"/>
      <c r="B13" s="65" t="s">
        <v>110</v>
      </c>
      <c r="C13" s="135">
        <v>17.25</v>
      </c>
      <c r="D13" s="221">
        <f>46.514*1.075*1.2</f>
        <v>60.00306</v>
      </c>
      <c r="E13" s="413"/>
      <c r="F13" s="444"/>
      <c r="G13" s="126"/>
      <c r="H13" s="127"/>
      <c r="I13" s="467"/>
      <c r="J13" s="464"/>
      <c r="K13" s="85"/>
      <c r="L13" s="163"/>
      <c r="M13" s="84"/>
      <c r="N13" s="120"/>
    </row>
    <row r="14" spans="1:14" ht="15" customHeight="1" thickTop="1">
      <c r="A14" s="397" t="s">
        <v>17</v>
      </c>
      <c r="B14" s="65" t="s">
        <v>94</v>
      </c>
      <c r="C14" s="203">
        <v>3420</v>
      </c>
      <c r="D14" s="217">
        <f>9.621*1.075*1.2</f>
        <v>12.41109</v>
      </c>
      <c r="E14" s="412">
        <f>50</f>
        <v>50</v>
      </c>
      <c r="F14" s="458">
        <v>22.54</v>
      </c>
      <c r="G14" s="128"/>
      <c r="H14" s="129"/>
      <c r="I14" s="452">
        <v>3000</v>
      </c>
      <c r="J14" s="449">
        <f>122.45*1.2</f>
        <v>146.94</v>
      </c>
      <c r="K14" s="76"/>
      <c r="L14" s="162"/>
      <c r="M14" s="83"/>
      <c r="N14" s="115"/>
    </row>
    <row r="15" spans="1:14" ht="15" customHeight="1">
      <c r="A15" s="398"/>
      <c r="B15" s="65" t="s">
        <v>95</v>
      </c>
      <c r="C15" s="107">
        <v>660</v>
      </c>
      <c r="D15" s="221">
        <f>4.927*1.075*1.2</f>
        <v>6.355829999999998</v>
      </c>
      <c r="E15" s="413"/>
      <c r="F15" s="459"/>
      <c r="G15" s="126"/>
      <c r="H15" s="127"/>
      <c r="I15" s="453"/>
      <c r="J15" s="450"/>
      <c r="K15" s="85"/>
      <c r="L15" s="163"/>
      <c r="M15" s="84"/>
      <c r="N15" s="120"/>
    </row>
    <row r="16" spans="1:14" ht="15" customHeight="1" thickBot="1">
      <c r="A16" s="398"/>
      <c r="B16" s="65" t="s">
        <v>110</v>
      </c>
      <c r="C16" s="135">
        <v>17.25</v>
      </c>
      <c r="D16" s="221">
        <f>46.514*1.075*1.2</f>
        <v>60.00306</v>
      </c>
      <c r="E16" s="413"/>
      <c r="F16" s="459"/>
      <c r="G16" s="126"/>
      <c r="H16" s="127"/>
      <c r="I16" s="453"/>
      <c r="J16" s="450"/>
      <c r="K16" s="85"/>
      <c r="L16" s="163"/>
      <c r="M16" s="84"/>
      <c r="N16" s="120"/>
    </row>
    <row r="17" spans="1:14" ht="15" customHeight="1" thickTop="1">
      <c r="A17" s="397" t="s">
        <v>18</v>
      </c>
      <c r="B17" s="69" t="s">
        <v>94</v>
      </c>
      <c r="C17" s="203">
        <v>4650</v>
      </c>
      <c r="D17" s="217">
        <f>9.621*1.075*1.2</f>
        <v>12.41109</v>
      </c>
      <c r="E17" s="412">
        <f>35</f>
        <v>35</v>
      </c>
      <c r="F17" s="458">
        <v>22.54</v>
      </c>
      <c r="G17" s="128"/>
      <c r="H17" s="129"/>
      <c r="I17" s="452">
        <f>2032+968+1000+2000</f>
        <v>6000</v>
      </c>
      <c r="J17" s="449">
        <f>121.45*1.2</f>
        <v>145.74</v>
      </c>
      <c r="K17" s="76"/>
      <c r="L17" s="162"/>
      <c r="M17" s="83"/>
      <c r="N17" s="115"/>
    </row>
    <row r="18" spans="1:14" ht="15" customHeight="1">
      <c r="A18" s="398"/>
      <c r="B18" s="65" t="s">
        <v>95</v>
      </c>
      <c r="C18" s="107">
        <v>1200</v>
      </c>
      <c r="D18" s="221">
        <f>4.927*1.075*1.2</f>
        <v>6.355829999999998</v>
      </c>
      <c r="E18" s="413"/>
      <c r="F18" s="459"/>
      <c r="G18" s="126"/>
      <c r="H18" s="127"/>
      <c r="I18" s="453"/>
      <c r="J18" s="450"/>
      <c r="K18" s="85"/>
      <c r="L18" s="163"/>
      <c r="M18" s="84"/>
      <c r="N18" s="120"/>
    </row>
    <row r="19" spans="1:14" ht="15" customHeight="1" thickBot="1">
      <c r="A19" s="398"/>
      <c r="B19" s="65" t="s">
        <v>110</v>
      </c>
      <c r="C19" s="135">
        <v>17.25</v>
      </c>
      <c r="D19" s="221">
        <f>46.514*1.075*1.2</f>
        <v>60.00306</v>
      </c>
      <c r="E19" s="413"/>
      <c r="F19" s="459"/>
      <c r="G19" s="126"/>
      <c r="H19" s="127"/>
      <c r="I19" s="453"/>
      <c r="J19" s="450"/>
      <c r="K19" s="85"/>
      <c r="L19" s="163"/>
      <c r="M19" s="84"/>
      <c r="N19" s="120"/>
    </row>
    <row r="20" spans="1:14" ht="13.5" thickTop="1">
      <c r="A20" s="397" t="s">
        <v>19</v>
      </c>
      <c r="B20" s="69" t="s">
        <v>94</v>
      </c>
      <c r="C20" s="203">
        <v>2970</v>
      </c>
      <c r="D20" s="217">
        <f>(6.39+3.138+0.093)*1.075*1.2</f>
        <v>12.411089999999998</v>
      </c>
      <c r="E20" s="412">
        <v>49</v>
      </c>
      <c r="F20" s="458">
        <v>22.54</v>
      </c>
      <c r="G20" s="128"/>
      <c r="H20" s="129"/>
      <c r="I20" s="452">
        <v>1502</v>
      </c>
      <c r="J20" s="449">
        <f>121.12*1.2</f>
        <v>145.344</v>
      </c>
      <c r="K20" s="76"/>
      <c r="L20" s="162"/>
      <c r="M20" s="83"/>
      <c r="N20" s="115"/>
    </row>
    <row r="21" spans="1:14" ht="15" customHeight="1">
      <c r="A21" s="398"/>
      <c r="B21" s="65" t="s">
        <v>95</v>
      </c>
      <c r="C21" s="107">
        <v>930</v>
      </c>
      <c r="D21" s="221">
        <f>(4.05+0.784+0.093)*1.075*1.2</f>
        <v>6.355829999999998</v>
      </c>
      <c r="E21" s="413"/>
      <c r="F21" s="459"/>
      <c r="G21" s="126"/>
      <c r="H21" s="127"/>
      <c r="I21" s="453"/>
      <c r="J21" s="450"/>
      <c r="K21" s="85"/>
      <c r="L21" s="163"/>
      <c r="M21" s="84"/>
      <c r="N21" s="120"/>
    </row>
    <row r="22" spans="1:14" ht="15" customHeight="1" thickBot="1">
      <c r="A22" s="398"/>
      <c r="B22" s="65" t="s">
        <v>110</v>
      </c>
      <c r="C22" s="135">
        <v>17.25</v>
      </c>
      <c r="D22" s="221">
        <f>46.514*1.075*1.2</f>
        <v>60.00306</v>
      </c>
      <c r="E22" s="413"/>
      <c r="F22" s="459"/>
      <c r="G22" s="126"/>
      <c r="H22" s="127"/>
      <c r="I22" s="453"/>
      <c r="J22" s="450"/>
      <c r="K22" s="85"/>
      <c r="L22" s="163"/>
      <c r="M22" s="84"/>
      <c r="N22" s="120"/>
    </row>
    <row r="23" spans="1:14" ht="13.5" thickTop="1">
      <c r="A23" s="397" t="s">
        <v>20</v>
      </c>
      <c r="B23" s="69" t="s">
        <v>94</v>
      </c>
      <c r="C23" s="87">
        <v>2910</v>
      </c>
      <c r="D23" s="217">
        <f>(6.39+3.138+0.093)*1.075*1.2</f>
        <v>12.411089999999998</v>
      </c>
      <c r="E23" s="412">
        <v>57</v>
      </c>
      <c r="F23" s="458">
        <v>22.54</v>
      </c>
      <c r="G23" s="128"/>
      <c r="H23" s="129"/>
      <c r="I23" s="446">
        <v>0</v>
      </c>
      <c r="J23" s="449">
        <v>0</v>
      </c>
      <c r="K23" s="76"/>
      <c r="L23" s="162"/>
      <c r="M23" s="83"/>
      <c r="N23" s="115"/>
    </row>
    <row r="24" spans="1:14" ht="15" customHeight="1">
      <c r="A24" s="398"/>
      <c r="B24" s="65" t="s">
        <v>95</v>
      </c>
      <c r="C24" s="107">
        <v>570</v>
      </c>
      <c r="D24" s="221">
        <f>(4.05+0.784+0.093)*1.075*1.2</f>
        <v>6.355829999999998</v>
      </c>
      <c r="E24" s="413"/>
      <c r="F24" s="459"/>
      <c r="G24" s="126"/>
      <c r="H24" s="127"/>
      <c r="I24" s="447"/>
      <c r="J24" s="450"/>
      <c r="K24" s="85"/>
      <c r="L24" s="163"/>
      <c r="M24" s="84"/>
      <c r="N24" s="120"/>
    </row>
    <row r="25" spans="1:14" ht="15" customHeight="1" thickBot="1">
      <c r="A25" s="398"/>
      <c r="B25" s="65" t="s">
        <v>110</v>
      </c>
      <c r="C25" s="135">
        <v>17.25</v>
      </c>
      <c r="D25" s="221">
        <f>46.514*1.075*1.2</f>
        <v>60.00306</v>
      </c>
      <c r="E25" s="413"/>
      <c r="F25" s="459"/>
      <c r="G25" s="126"/>
      <c r="H25" s="127"/>
      <c r="I25" s="460"/>
      <c r="J25" s="450"/>
      <c r="K25" s="85"/>
      <c r="L25" s="163"/>
      <c r="M25" s="84"/>
      <c r="N25" s="120"/>
    </row>
    <row r="26" spans="1:14" ht="15" customHeight="1" thickTop="1">
      <c r="A26" s="397" t="s">
        <v>68</v>
      </c>
      <c r="B26" s="69" t="s">
        <v>94</v>
      </c>
      <c r="C26" s="87">
        <v>2100</v>
      </c>
      <c r="D26" s="217">
        <f>(6.39+3.138+0.093)*1.075*1.2</f>
        <v>12.411089999999998</v>
      </c>
      <c r="E26" s="412">
        <v>62</v>
      </c>
      <c r="F26" s="458">
        <v>22.54</v>
      </c>
      <c r="G26" s="128"/>
      <c r="H26" s="129"/>
      <c r="I26" s="446">
        <v>0</v>
      </c>
      <c r="J26" s="449">
        <v>0</v>
      </c>
      <c r="K26" s="76"/>
      <c r="L26" s="162"/>
      <c r="M26" s="83"/>
      <c r="N26" s="115"/>
    </row>
    <row r="27" spans="1:14" ht="15.75" customHeight="1">
      <c r="A27" s="398"/>
      <c r="B27" s="65" t="s">
        <v>95</v>
      </c>
      <c r="C27" s="107">
        <v>270</v>
      </c>
      <c r="D27" s="221">
        <f>(4.05+0.784+0.093)*1.075*1.2</f>
        <v>6.355829999999998</v>
      </c>
      <c r="E27" s="413"/>
      <c r="F27" s="459"/>
      <c r="G27" s="126"/>
      <c r="H27" s="127"/>
      <c r="I27" s="447"/>
      <c r="J27" s="450"/>
      <c r="K27" s="85"/>
      <c r="L27" s="163"/>
      <c r="M27" s="84"/>
      <c r="N27" s="120"/>
    </row>
    <row r="28" spans="1:14" ht="16.5" customHeight="1" thickBot="1">
      <c r="A28" s="398"/>
      <c r="B28" s="65" t="s">
        <v>110</v>
      </c>
      <c r="C28" s="135">
        <v>17.25</v>
      </c>
      <c r="D28" s="221">
        <f>46.514*1.075*1.2</f>
        <v>60.00306</v>
      </c>
      <c r="E28" s="413"/>
      <c r="F28" s="459"/>
      <c r="G28" s="126"/>
      <c r="H28" s="127"/>
      <c r="I28" s="460"/>
      <c r="J28" s="450"/>
      <c r="K28" s="85"/>
      <c r="L28" s="163"/>
      <c r="M28" s="84"/>
      <c r="N28" s="120"/>
    </row>
    <row r="29" spans="1:14" ht="13.5" thickTop="1">
      <c r="A29" s="397" t="s">
        <v>69</v>
      </c>
      <c r="B29" s="69" t="s">
        <v>94</v>
      </c>
      <c r="C29" s="87">
        <v>2130</v>
      </c>
      <c r="D29" s="217">
        <f>(6.39+3.138+0.093)*1.075*1.2</f>
        <v>12.411089999999998</v>
      </c>
      <c r="E29" s="412">
        <f>50+1</f>
        <v>51</v>
      </c>
      <c r="F29" s="443">
        <v>22.54</v>
      </c>
      <c r="G29" s="143"/>
      <c r="H29" s="196"/>
      <c r="I29" s="440">
        <v>0</v>
      </c>
      <c r="J29" s="449">
        <v>0</v>
      </c>
      <c r="K29" s="76"/>
      <c r="L29" s="162"/>
      <c r="M29" s="83"/>
      <c r="N29" s="115"/>
    </row>
    <row r="30" spans="1:14" ht="15" customHeight="1">
      <c r="A30" s="398"/>
      <c r="B30" s="65" t="s">
        <v>95</v>
      </c>
      <c r="C30" s="107">
        <v>570</v>
      </c>
      <c r="D30" s="221">
        <f>(4.05+0.784+0.093)*1.075*1.2</f>
        <v>6.355829999999998</v>
      </c>
      <c r="E30" s="413"/>
      <c r="F30" s="444"/>
      <c r="G30" s="144"/>
      <c r="H30" s="197"/>
      <c r="I30" s="441"/>
      <c r="J30" s="450"/>
      <c r="K30" s="85"/>
      <c r="L30" s="163"/>
      <c r="M30" s="84"/>
      <c r="N30" s="120"/>
    </row>
    <row r="31" spans="1:14" ht="15" customHeight="1" thickBot="1">
      <c r="A31" s="398"/>
      <c r="B31" s="65" t="s">
        <v>110</v>
      </c>
      <c r="C31" s="135">
        <v>17.25</v>
      </c>
      <c r="D31" s="221">
        <f>46.514*1.075*1.2</f>
        <v>60.00306</v>
      </c>
      <c r="E31" s="413"/>
      <c r="F31" s="444"/>
      <c r="G31" s="144"/>
      <c r="H31" s="198"/>
      <c r="I31" s="442"/>
      <c r="J31" s="450"/>
      <c r="K31" s="85"/>
      <c r="L31" s="163"/>
      <c r="M31" s="84"/>
      <c r="N31" s="120"/>
    </row>
    <row r="32" spans="1:14" ht="13.5" thickTop="1">
      <c r="A32" s="397" t="s">
        <v>22</v>
      </c>
      <c r="B32" s="69" t="s">
        <v>94</v>
      </c>
      <c r="C32" s="87">
        <v>1620</v>
      </c>
      <c r="D32" s="217">
        <f>(6.39+3.138+0.093)*1.075*1.2</f>
        <v>12.411089999999998</v>
      </c>
      <c r="E32" s="412">
        <f>43</f>
        <v>43</v>
      </c>
      <c r="F32" s="443">
        <v>22.54</v>
      </c>
      <c r="G32" s="446"/>
      <c r="H32" s="450"/>
      <c r="I32" s="446">
        <v>0</v>
      </c>
      <c r="J32" s="449">
        <v>0</v>
      </c>
      <c r="K32" s="338"/>
      <c r="L32" s="443"/>
      <c r="M32" s="446"/>
      <c r="N32" s="449"/>
    </row>
    <row r="33" spans="1:14" ht="15" customHeight="1">
      <c r="A33" s="398"/>
      <c r="B33" s="65" t="s">
        <v>95</v>
      </c>
      <c r="C33" s="107">
        <v>210</v>
      </c>
      <c r="D33" s="221">
        <f>(4.05+0.784+0.093)*1.075*1.2</f>
        <v>6.355829999999998</v>
      </c>
      <c r="E33" s="413"/>
      <c r="F33" s="444"/>
      <c r="G33" s="447"/>
      <c r="H33" s="450"/>
      <c r="I33" s="447"/>
      <c r="J33" s="450"/>
      <c r="K33" s="322"/>
      <c r="L33" s="444"/>
      <c r="M33" s="447"/>
      <c r="N33" s="450"/>
    </row>
    <row r="34" spans="1:14" ht="15" customHeight="1" thickBot="1">
      <c r="A34" s="398"/>
      <c r="B34" s="65" t="s">
        <v>110</v>
      </c>
      <c r="C34" s="135">
        <v>17.25</v>
      </c>
      <c r="D34" s="221">
        <f>46.514*1.075*1.2</f>
        <v>60.00306</v>
      </c>
      <c r="E34" s="413"/>
      <c r="F34" s="444"/>
      <c r="G34" s="447"/>
      <c r="H34" s="450"/>
      <c r="I34" s="447"/>
      <c r="J34" s="450"/>
      <c r="K34" s="322"/>
      <c r="L34" s="444"/>
      <c r="M34" s="447"/>
      <c r="N34" s="450"/>
    </row>
    <row r="35" spans="1:14" ht="13.5" thickTop="1">
      <c r="A35" s="397" t="s">
        <v>23</v>
      </c>
      <c r="B35" s="69" t="s">
        <v>94</v>
      </c>
      <c r="C35" s="87">
        <v>2160</v>
      </c>
      <c r="D35" s="215">
        <f>10.681*1.075*1.2</f>
        <v>13.778489999999998</v>
      </c>
      <c r="E35" s="412">
        <v>64</v>
      </c>
      <c r="F35" s="443">
        <v>22.54</v>
      </c>
      <c r="G35" s="446"/>
      <c r="H35" s="449"/>
      <c r="I35" s="454"/>
      <c r="J35" s="449"/>
      <c r="K35" s="338"/>
      <c r="L35" s="443"/>
      <c r="M35" s="446"/>
      <c r="N35" s="449"/>
    </row>
    <row r="36" spans="1:14" ht="15" customHeight="1">
      <c r="A36" s="398"/>
      <c r="B36" s="65" t="s">
        <v>95</v>
      </c>
      <c r="C36" s="107">
        <v>330</v>
      </c>
      <c r="D36" s="216">
        <f>5.597*1.075*1.2</f>
        <v>7.220129999999999</v>
      </c>
      <c r="E36" s="413"/>
      <c r="F36" s="444"/>
      <c r="G36" s="447"/>
      <c r="H36" s="450"/>
      <c r="I36" s="455"/>
      <c r="J36" s="450"/>
      <c r="K36" s="322"/>
      <c r="L36" s="444"/>
      <c r="M36" s="447"/>
      <c r="N36" s="450"/>
    </row>
    <row r="37" spans="1:14" ht="15" customHeight="1" thickBot="1">
      <c r="A37" s="398"/>
      <c r="B37" s="65" t="s">
        <v>110</v>
      </c>
      <c r="C37" s="135">
        <v>17.25</v>
      </c>
      <c r="D37" s="216">
        <v>60.003</v>
      </c>
      <c r="E37" s="413"/>
      <c r="F37" s="444"/>
      <c r="G37" s="447"/>
      <c r="H37" s="450"/>
      <c r="I37" s="455"/>
      <c r="J37" s="450"/>
      <c r="K37" s="322"/>
      <c r="L37" s="444"/>
      <c r="M37" s="447"/>
      <c r="N37" s="450"/>
    </row>
    <row r="38" spans="1:14" ht="13.5" thickTop="1">
      <c r="A38" s="397" t="s">
        <v>24</v>
      </c>
      <c r="B38" s="156" t="s">
        <v>94</v>
      </c>
      <c r="C38" s="77">
        <v>3090</v>
      </c>
      <c r="D38" s="215">
        <f>10.681*1.075*1.2</f>
        <v>13.778489999999998</v>
      </c>
      <c r="E38" s="412">
        <f>50+1</f>
        <v>51</v>
      </c>
      <c r="F38" s="443">
        <v>22.54</v>
      </c>
      <c r="G38" s="446"/>
      <c r="H38" s="449"/>
      <c r="I38" s="500">
        <v>2000</v>
      </c>
      <c r="J38" s="449">
        <v>158.41</v>
      </c>
      <c r="K38" s="338"/>
      <c r="L38" s="443"/>
      <c r="M38" s="446"/>
      <c r="N38" s="449"/>
    </row>
    <row r="39" spans="1:14" ht="15" customHeight="1">
      <c r="A39" s="398"/>
      <c r="B39" s="157" t="s">
        <v>95</v>
      </c>
      <c r="C39" s="78">
        <v>630</v>
      </c>
      <c r="D39" s="216">
        <f>5.597*1.075*1.2</f>
        <v>7.220129999999999</v>
      </c>
      <c r="E39" s="413"/>
      <c r="F39" s="444"/>
      <c r="G39" s="447"/>
      <c r="H39" s="450"/>
      <c r="I39" s="500"/>
      <c r="J39" s="450"/>
      <c r="K39" s="322"/>
      <c r="L39" s="444"/>
      <c r="M39" s="447"/>
      <c r="N39" s="450"/>
    </row>
    <row r="40" spans="1:14" ht="15" customHeight="1" thickBot="1">
      <c r="A40" s="398"/>
      <c r="B40" s="157" t="s">
        <v>110</v>
      </c>
      <c r="C40" s="155">
        <v>17.25</v>
      </c>
      <c r="D40" s="216">
        <v>60.003</v>
      </c>
      <c r="E40" s="413"/>
      <c r="F40" s="444"/>
      <c r="G40" s="447"/>
      <c r="H40" s="450"/>
      <c r="I40" s="500"/>
      <c r="J40" s="450"/>
      <c r="K40" s="322"/>
      <c r="L40" s="444"/>
      <c r="M40" s="447"/>
      <c r="N40" s="450"/>
    </row>
    <row r="41" spans="1:14" ht="13.5" thickTop="1">
      <c r="A41" s="397" t="s">
        <v>25</v>
      </c>
      <c r="B41" s="69" t="s">
        <v>94</v>
      </c>
      <c r="C41" s="107"/>
      <c r="D41" s="215"/>
      <c r="E41" s="338"/>
      <c r="F41" s="443"/>
      <c r="G41" s="446"/>
      <c r="H41" s="449"/>
      <c r="I41" s="473"/>
      <c r="J41" s="474"/>
      <c r="K41" s="338"/>
      <c r="L41" s="443"/>
      <c r="M41" s="446"/>
      <c r="N41" s="449"/>
    </row>
    <row r="42" spans="1:14" ht="12.75">
      <c r="A42" s="398"/>
      <c r="B42" s="65" t="s">
        <v>95</v>
      </c>
      <c r="C42" s="107"/>
      <c r="D42" s="216"/>
      <c r="E42" s="322"/>
      <c r="F42" s="444"/>
      <c r="G42" s="447"/>
      <c r="H42" s="450"/>
      <c r="I42" s="473"/>
      <c r="J42" s="474"/>
      <c r="K42" s="322"/>
      <c r="L42" s="444"/>
      <c r="M42" s="447"/>
      <c r="N42" s="450"/>
    </row>
    <row r="43" spans="1:15" ht="13.5" thickBot="1">
      <c r="A43" s="398"/>
      <c r="B43" s="65" t="s">
        <v>110</v>
      </c>
      <c r="C43" s="154"/>
      <c r="D43" s="216"/>
      <c r="E43" s="322"/>
      <c r="F43" s="444"/>
      <c r="G43" s="447"/>
      <c r="H43" s="450"/>
      <c r="I43" s="473"/>
      <c r="J43" s="474"/>
      <c r="K43" s="322"/>
      <c r="L43" s="444"/>
      <c r="M43" s="447"/>
      <c r="N43" s="450"/>
      <c r="O43" s="164"/>
    </row>
    <row r="44" spans="1:15" ht="13.5" customHeight="1" thickTop="1">
      <c r="A44" s="469" t="s">
        <v>26</v>
      </c>
      <c r="B44" s="168" t="s">
        <v>94</v>
      </c>
      <c r="C44" s="77"/>
      <c r="D44" s="215"/>
      <c r="E44" s="472"/>
      <c r="F44" s="457"/>
      <c r="G44" s="457"/>
      <c r="H44" s="457"/>
      <c r="I44" s="456"/>
      <c r="J44" s="456"/>
      <c r="K44" s="440"/>
      <c r="L44" s="443"/>
      <c r="M44" s="446"/>
      <c r="N44" s="449"/>
      <c r="O44" s="164"/>
    </row>
    <row r="45" spans="1:15" ht="13.5" customHeight="1">
      <c r="A45" s="470"/>
      <c r="B45" s="169" t="s">
        <v>95</v>
      </c>
      <c r="C45" s="78"/>
      <c r="D45" s="216"/>
      <c r="E45" s="472"/>
      <c r="F45" s="457"/>
      <c r="G45" s="457"/>
      <c r="H45" s="457"/>
      <c r="I45" s="456"/>
      <c r="J45" s="456"/>
      <c r="K45" s="441"/>
      <c r="L45" s="444"/>
      <c r="M45" s="447"/>
      <c r="N45" s="450"/>
      <c r="O45" s="164"/>
    </row>
    <row r="46" spans="1:15" ht="13.5" customHeight="1" thickBot="1">
      <c r="A46" s="471"/>
      <c r="B46" s="170" t="s">
        <v>110</v>
      </c>
      <c r="C46" s="155"/>
      <c r="D46" s="216"/>
      <c r="E46" s="472"/>
      <c r="F46" s="457"/>
      <c r="G46" s="457"/>
      <c r="H46" s="457"/>
      <c r="I46" s="456"/>
      <c r="J46" s="456"/>
      <c r="K46" s="442"/>
      <c r="L46" s="445"/>
      <c r="M46" s="448"/>
      <c r="N46" s="451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23" t="s">
        <v>32</v>
      </c>
      <c r="B48" s="323"/>
      <c r="C48" s="323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6">
    <mergeCell ref="I29:I31"/>
    <mergeCell ref="I38:I40"/>
    <mergeCell ref="I41:I43"/>
    <mergeCell ref="J38:J40"/>
    <mergeCell ref="J41:J43"/>
    <mergeCell ref="J29:J31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G32:G34"/>
    <mergeCell ref="H32:H34"/>
    <mergeCell ref="I32:I34"/>
    <mergeCell ref="J32:J34"/>
    <mergeCell ref="A20:A22"/>
    <mergeCell ref="E20:E22"/>
    <mergeCell ref="F20:F22"/>
    <mergeCell ref="E23:E25"/>
    <mergeCell ref="F23:F25"/>
    <mergeCell ref="A26:A28"/>
    <mergeCell ref="E26:E28"/>
    <mergeCell ref="F26:F28"/>
    <mergeCell ref="J23:J25"/>
    <mergeCell ref="J26:J28"/>
    <mergeCell ref="I23:I25"/>
    <mergeCell ref="I26:I28"/>
    <mergeCell ref="G44:G46"/>
    <mergeCell ref="H44:H46"/>
    <mergeCell ref="I44:I46"/>
    <mergeCell ref="G41:G43"/>
    <mergeCell ref="H41:H43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</mergeCells>
  <printOptions/>
  <pageMargins left="0.21" right="0.2" top="0.37" bottom="0.39" header="0.5" footer="0.3"/>
  <pageSetup horizontalDpi="600" verticalDpi="600" orientation="landscape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C31" sqref="C31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0" t="s">
        <v>29</v>
      </c>
      <c r="J1" s="430"/>
      <c r="K1" s="430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30" t="s">
        <v>2</v>
      </c>
      <c r="J2" s="430"/>
      <c r="K2" s="430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0" t="s">
        <v>3</v>
      </c>
      <c r="J3" s="430"/>
      <c r="K3" s="430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3" t="s">
        <v>27</v>
      </c>
      <c r="H9" s="314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87">
        <v>1176</v>
      </c>
      <c r="D11" s="222">
        <f>8.588*1.075*1.2</f>
        <v>11.07852</v>
      </c>
      <c r="E11" s="311">
        <v>23</v>
      </c>
      <c r="F11" s="334">
        <v>22.54</v>
      </c>
      <c r="G11" s="7">
        <v>17816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1"/>
      <c r="B12" s="95" t="s">
        <v>113</v>
      </c>
      <c r="C12" s="107">
        <v>17.25</v>
      </c>
      <c r="D12" s="225">
        <f>46.514*1.075*1.2</f>
        <v>60.00306</v>
      </c>
      <c r="E12" s="408"/>
      <c r="F12" s="337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397" t="s">
        <v>17</v>
      </c>
      <c r="B13" s="94" t="s">
        <v>94</v>
      </c>
      <c r="C13" s="204">
        <v>999</v>
      </c>
      <c r="D13" s="222">
        <f>8.588*1.075*1.2</f>
        <v>11.07852</v>
      </c>
      <c r="E13" s="412">
        <v>20</v>
      </c>
      <c r="F13" s="426">
        <v>22.54</v>
      </c>
      <c r="G13" s="25">
        <v>19505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11"/>
      <c r="B14" s="95" t="s">
        <v>113</v>
      </c>
      <c r="C14" s="105">
        <v>17.25</v>
      </c>
      <c r="D14" s="225">
        <f>46.514*1.075*1.2</f>
        <v>60.00306</v>
      </c>
      <c r="E14" s="408"/>
      <c r="F14" s="439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397" t="s">
        <v>18</v>
      </c>
      <c r="B15" s="94" t="s">
        <v>94</v>
      </c>
      <c r="C15" s="204">
        <v>1261</v>
      </c>
      <c r="D15" s="222">
        <f>8.588*1.075*1.2</f>
        <v>11.07852</v>
      </c>
      <c r="E15" s="412">
        <f>27</f>
        <v>27</v>
      </c>
      <c r="F15" s="426">
        <v>22.54</v>
      </c>
      <c r="G15" s="25">
        <v>16739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11"/>
      <c r="B16" s="95" t="s">
        <v>113</v>
      </c>
      <c r="C16" s="105">
        <v>17.25</v>
      </c>
      <c r="D16" s="225">
        <f>46.514*1.075*1.2</f>
        <v>60.00306</v>
      </c>
      <c r="E16" s="408"/>
      <c r="F16" s="439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397" t="s">
        <v>19</v>
      </c>
      <c r="B17" s="94" t="s">
        <v>94</v>
      </c>
      <c r="C17" s="106">
        <v>881</v>
      </c>
      <c r="D17" s="215">
        <v>11.079</v>
      </c>
      <c r="E17" s="412">
        <v>24</v>
      </c>
      <c r="F17" s="426">
        <v>22.54</v>
      </c>
      <c r="G17" s="25">
        <v>3979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11"/>
      <c r="B18" s="95" t="s">
        <v>113</v>
      </c>
      <c r="C18" s="105">
        <v>17.25</v>
      </c>
      <c r="D18" s="216">
        <v>60.003</v>
      </c>
      <c r="E18" s="408"/>
      <c r="F18" s="439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397" t="s">
        <v>20</v>
      </c>
      <c r="B19" s="94" t="s">
        <v>94</v>
      </c>
      <c r="C19" s="204">
        <v>1000</v>
      </c>
      <c r="D19" s="215">
        <v>11.079</v>
      </c>
      <c r="E19" s="412">
        <v>27</v>
      </c>
      <c r="F19" s="426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11"/>
      <c r="B20" s="95" t="s">
        <v>113</v>
      </c>
      <c r="C20" s="105">
        <v>17.25</v>
      </c>
      <c r="D20" s="216">
        <v>60.003</v>
      </c>
      <c r="E20" s="408"/>
      <c r="F20" s="439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397" t="s">
        <v>68</v>
      </c>
      <c r="B21" s="94" t="s">
        <v>94</v>
      </c>
      <c r="C21" s="106">
        <v>827</v>
      </c>
      <c r="D21" s="215">
        <v>11.079</v>
      </c>
      <c r="E21" s="412">
        <v>35</v>
      </c>
      <c r="F21" s="426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11"/>
      <c r="B22" s="95" t="s">
        <v>113</v>
      </c>
      <c r="C22" s="105">
        <v>17.25</v>
      </c>
      <c r="D22" s="216">
        <v>60.003</v>
      </c>
      <c r="E22" s="408"/>
      <c r="F22" s="439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397" t="s">
        <v>69</v>
      </c>
      <c r="B23" s="94" t="s">
        <v>94</v>
      </c>
      <c r="C23" s="106">
        <v>0</v>
      </c>
      <c r="D23" s="215">
        <v>11.079</v>
      </c>
      <c r="E23" s="412">
        <v>20</v>
      </c>
      <c r="F23" s="426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11"/>
      <c r="B24" s="95" t="s">
        <v>113</v>
      </c>
      <c r="C24" s="105">
        <v>17.25</v>
      </c>
      <c r="D24" s="216">
        <v>60.003</v>
      </c>
      <c r="E24" s="408"/>
      <c r="F24" s="439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3.5" thickTop="1">
      <c r="A25" s="397" t="s">
        <v>22</v>
      </c>
      <c r="B25" s="94" t="s">
        <v>94</v>
      </c>
      <c r="C25" s="106">
        <v>508</v>
      </c>
      <c r="D25" s="215">
        <v>11.079</v>
      </c>
      <c r="E25" s="412">
        <v>0</v>
      </c>
      <c r="F25" s="426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3.5" thickBot="1">
      <c r="A26" s="411"/>
      <c r="B26" s="95" t="s">
        <v>113</v>
      </c>
      <c r="C26" s="105">
        <v>17.25</v>
      </c>
      <c r="D26" s="216">
        <v>60.003</v>
      </c>
      <c r="E26" s="408"/>
      <c r="F26" s="439"/>
      <c r="G26" s="12">
        <v>300.41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397" t="s">
        <v>23</v>
      </c>
      <c r="B27" s="94" t="s">
        <v>94</v>
      </c>
      <c r="C27" s="106">
        <v>981</v>
      </c>
      <c r="D27" s="222">
        <f>9.548*1.075*1.2</f>
        <v>12.316919999999998</v>
      </c>
      <c r="E27" s="412">
        <v>17</v>
      </c>
      <c r="F27" s="426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3.5" thickBot="1">
      <c r="A28" s="411"/>
      <c r="B28" s="95" t="s">
        <v>113</v>
      </c>
      <c r="C28" s="105">
        <v>17.25</v>
      </c>
      <c r="D28" s="225">
        <v>60.0031</v>
      </c>
      <c r="E28" s="408"/>
      <c r="F28" s="439"/>
      <c r="G28" s="12">
        <v>300.41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397" t="s">
        <v>24</v>
      </c>
      <c r="B29" s="94" t="s">
        <v>94</v>
      </c>
      <c r="C29" s="106">
        <v>1219</v>
      </c>
      <c r="D29" s="222">
        <f>9.548*1.075*1.2</f>
        <v>12.316919999999998</v>
      </c>
      <c r="E29" s="412">
        <v>34</v>
      </c>
      <c r="F29" s="426">
        <v>22.54</v>
      </c>
      <c r="G29" s="25">
        <v>0</v>
      </c>
      <c r="H29" s="15">
        <v>5.81</v>
      </c>
      <c r="I29" s="4"/>
      <c r="J29" s="5"/>
      <c r="K29" s="4"/>
      <c r="L29" s="5"/>
      <c r="M29" s="4"/>
      <c r="N29" s="5"/>
    </row>
    <row r="30" spans="1:14" ht="13.5" thickBot="1">
      <c r="A30" s="411"/>
      <c r="B30" s="95" t="s">
        <v>113</v>
      </c>
      <c r="C30" s="105">
        <v>17.25</v>
      </c>
      <c r="D30" s="225">
        <v>60.0031</v>
      </c>
      <c r="E30" s="408"/>
      <c r="F30" s="439"/>
      <c r="G30" s="12">
        <v>300.41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397" t="s">
        <v>25</v>
      </c>
      <c r="B31" s="94" t="s">
        <v>94</v>
      </c>
      <c r="C31" s="106"/>
      <c r="D31" s="222"/>
      <c r="E31" s="412"/>
      <c r="F31" s="426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11"/>
      <c r="B32" s="95" t="s">
        <v>113</v>
      </c>
      <c r="C32" s="105"/>
      <c r="D32" s="225"/>
      <c r="E32" s="408"/>
      <c r="F32" s="439"/>
      <c r="G32" s="12"/>
      <c r="H32" s="22"/>
      <c r="I32" s="4"/>
      <c r="J32" s="5"/>
      <c r="K32" s="4"/>
      <c r="L32" s="5"/>
      <c r="M32" s="4"/>
      <c r="N32" s="5"/>
    </row>
    <row r="33" spans="1:14" ht="12.75">
      <c r="A33" s="397" t="s">
        <v>26</v>
      </c>
      <c r="B33" s="94" t="s">
        <v>94</v>
      </c>
      <c r="C33" s="106"/>
      <c r="D33" s="222"/>
      <c r="E33" s="412"/>
      <c r="F33" s="426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38"/>
      <c r="B34" s="95" t="s">
        <v>113</v>
      </c>
      <c r="C34" s="105"/>
      <c r="D34" s="225"/>
      <c r="E34" s="312"/>
      <c r="F34" s="475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3" t="s">
        <v>32</v>
      </c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 t="s">
        <v>35</v>
      </c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 t="s">
        <v>34</v>
      </c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A29:A30"/>
    <mergeCell ref="E29:E30"/>
    <mergeCell ref="F29:F30"/>
    <mergeCell ref="A21:A22"/>
    <mergeCell ref="E21:E22"/>
    <mergeCell ref="F21:F22"/>
    <mergeCell ref="E17:E18"/>
    <mergeCell ref="F17:F18"/>
    <mergeCell ref="A19:A20"/>
    <mergeCell ref="E19:E20"/>
    <mergeCell ref="F19:F20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I1:K1"/>
    <mergeCell ref="I2:K2"/>
    <mergeCell ref="I3:K3"/>
    <mergeCell ref="K9:L9"/>
    <mergeCell ref="A15:A16"/>
    <mergeCell ref="E15:E16"/>
    <mergeCell ref="F15:F16"/>
    <mergeCell ref="F11:F12"/>
    <mergeCell ref="F25:F26"/>
    <mergeCell ref="A27:A28"/>
    <mergeCell ref="F27:F28"/>
    <mergeCell ref="A23:A24"/>
    <mergeCell ref="E23:E24"/>
    <mergeCell ref="F23:F24"/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30">
      <selection activeCell="E51" sqref="E51:E54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0" t="s">
        <v>29</v>
      </c>
      <c r="J1" s="430"/>
      <c r="K1" s="430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30" t="s">
        <v>2</v>
      </c>
      <c r="J2" s="430"/>
      <c r="K2" s="430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0" t="s">
        <v>3</v>
      </c>
      <c r="J3" s="430"/>
      <c r="K3" s="430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436" t="s">
        <v>27</v>
      </c>
      <c r="H9" s="437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09"/>
      <c r="B10" s="321"/>
      <c r="C10" s="322"/>
      <c r="D10" s="335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9" t="s">
        <v>16</v>
      </c>
      <c r="B11" s="136" t="s">
        <v>94</v>
      </c>
      <c r="C11" s="152">
        <v>19080</v>
      </c>
      <c r="D11" s="148">
        <f>8.716*1.075*1.2</f>
        <v>11.243639999999997</v>
      </c>
      <c r="E11" s="348">
        <f>216+116</f>
        <v>332</v>
      </c>
      <c r="F11" s="334">
        <v>22.54</v>
      </c>
      <c r="G11" s="477">
        <v>22070</v>
      </c>
      <c r="H11" s="334">
        <v>5.81</v>
      </c>
      <c r="I11" s="7"/>
      <c r="J11" s="8"/>
      <c r="K11" s="7"/>
      <c r="L11" s="8"/>
      <c r="M11" s="7"/>
      <c r="N11" s="8"/>
    </row>
    <row r="12" spans="1:14" ht="16.5" customHeight="1">
      <c r="A12" s="479"/>
      <c r="B12" s="137" t="s">
        <v>95</v>
      </c>
      <c r="C12" s="79">
        <v>10380</v>
      </c>
      <c r="D12" s="149">
        <f>4.887*1.075*1.2</f>
        <v>6.304229999999999</v>
      </c>
      <c r="E12" s="322"/>
      <c r="F12" s="335"/>
      <c r="G12" s="416"/>
      <c r="H12" s="335"/>
      <c r="I12" s="7"/>
      <c r="J12" s="8"/>
      <c r="K12" s="7"/>
      <c r="L12" s="8"/>
      <c r="M12" s="7"/>
      <c r="N12" s="8"/>
    </row>
    <row r="13" spans="1:14" ht="16.5" customHeight="1">
      <c r="A13" s="479"/>
      <c r="B13" s="137" t="s">
        <v>113</v>
      </c>
      <c r="C13" s="79">
        <v>232</v>
      </c>
      <c r="D13" s="149">
        <f>148.844*1.075*1.2</f>
        <v>192.00875999999997</v>
      </c>
      <c r="E13" s="322"/>
      <c r="F13" s="335"/>
      <c r="G13" s="416">
        <v>764.5</v>
      </c>
      <c r="H13" s="335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71"/>
      <c r="B14" s="138" t="s">
        <v>112</v>
      </c>
      <c r="C14" s="151">
        <v>4680</v>
      </c>
      <c r="D14" s="150">
        <f>1.27*1.075*1.2</f>
        <v>1.6382999999999999</v>
      </c>
      <c r="E14" s="339"/>
      <c r="F14" s="337"/>
      <c r="G14" s="476"/>
      <c r="H14" s="343"/>
      <c r="I14" s="7"/>
      <c r="J14" s="8"/>
      <c r="K14" s="7"/>
      <c r="L14" s="8"/>
      <c r="M14" s="7"/>
      <c r="N14" s="8"/>
    </row>
    <row r="15" spans="1:14" ht="13.5" thickTop="1">
      <c r="A15" s="411" t="s">
        <v>17</v>
      </c>
      <c r="B15" s="136" t="s">
        <v>94</v>
      </c>
      <c r="C15" s="152">
        <v>16260</v>
      </c>
      <c r="D15" s="148">
        <f>8.716*1.075*1.2</f>
        <v>11.243639999999997</v>
      </c>
      <c r="E15" s="412">
        <f>180+100</f>
        <v>280</v>
      </c>
      <c r="F15" s="336">
        <v>22.54</v>
      </c>
      <c r="G15" s="477">
        <v>20720</v>
      </c>
      <c r="H15" s="334">
        <v>5.81</v>
      </c>
      <c r="I15" s="14"/>
      <c r="J15" s="15"/>
      <c r="K15" s="14"/>
      <c r="L15" s="15"/>
      <c r="M15" s="14"/>
      <c r="N15" s="15"/>
    </row>
    <row r="16" spans="1:14" ht="13.5" thickBot="1">
      <c r="A16" s="400"/>
      <c r="B16" s="137" t="s">
        <v>95</v>
      </c>
      <c r="C16" s="79">
        <v>7980</v>
      </c>
      <c r="D16" s="149">
        <f>4.887*1.075*1.2</f>
        <v>6.304229999999999</v>
      </c>
      <c r="E16" s="413"/>
      <c r="F16" s="335"/>
      <c r="G16" s="476"/>
      <c r="H16" s="343"/>
      <c r="I16" s="7"/>
      <c r="J16" s="8"/>
      <c r="K16" s="7"/>
      <c r="L16" s="8"/>
      <c r="M16" s="7"/>
      <c r="N16" s="8"/>
    </row>
    <row r="17" spans="1:14" ht="13.5" thickTop="1">
      <c r="A17" s="400"/>
      <c r="B17" s="137" t="s">
        <v>113</v>
      </c>
      <c r="C17" s="79">
        <v>232</v>
      </c>
      <c r="D17" s="149">
        <f>148.844*1.075*1.2</f>
        <v>192.00875999999997</v>
      </c>
      <c r="E17" s="413"/>
      <c r="F17" s="335"/>
      <c r="G17" s="477">
        <v>764.5</v>
      </c>
      <c r="H17" s="334">
        <v>47.23</v>
      </c>
      <c r="I17" s="7"/>
      <c r="J17" s="8"/>
      <c r="K17" s="7"/>
      <c r="L17" s="8"/>
      <c r="M17" s="7"/>
      <c r="N17" s="8"/>
    </row>
    <row r="18" spans="1:14" ht="14.25" customHeight="1" thickBot="1">
      <c r="A18" s="400"/>
      <c r="B18" s="138" t="s">
        <v>112</v>
      </c>
      <c r="C18" s="151">
        <v>4320</v>
      </c>
      <c r="D18" s="150">
        <f>1.27*1.075*1.2</f>
        <v>1.6382999999999999</v>
      </c>
      <c r="E18" s="408"/>
      <c r="F18" s="337"/>
      <c r="G18" s="476"/>
      <c r="H18" s="343"/>
      <c r="I18" s="7"/>
      <c r="J18" s="8"/>
      <c r="K18" s="7"/>
      <c r="L18" s="8"/>
      <c r="M18" s="7"/>
      <c r="N18" s="8"/>
    </row>
    <row r="19" spans="1:14" ht="14.25" customHeight="1" thickTop="1">
      <c r="A19" s="400" t="s">
        <v>18</v>
      </c>
      <c r="B19" s="136" t="s">
        <v>94</v>
      </c>
      <c r="C19" s="152">
        <v>18780</v>
      </c>
      <c r="D19" s="148">
        <f>8.716*1.075*1.2</f>
        <v>11.243639999999997</v>
      </c>
      <c r="E19" s="412">
        <f>138+121</f>
        <v>259</v>
      </c>
      <c r="F19" s="336">
        <v>22.54</v>
      </c>
      <c r="G19" s="477">
        <v>17540</v>
      </c>
      <c r="H19" s="334">
        <v>5.81</v>
      </c>
      <c r="I19" s="14"/>
      <c r="J19" s="15"/>
      <c r="K19" s="14"/>
      <c r="L19" s="15"/>
      <c r="M19" s="14"/>
      <c r="N19" s="15"/>
    </row>
    <row r="20" spans="1:14" ht="14.25" customHeight="1" thickBot="1">
      <c r="A20" s="400"/>
      <c r="B20" s="137" t="s">
        <v>95</v>
      </c>
      <c r="C20" s="79">
        <v>10320</v>
      </c>
      <c r="D20" s="149">
        <f>4.887*1.075*1.2</f>
        <v>6.304229999999999</v>
      </c>
      <c r="E20" s="413"/>
      <c r="F20" s="335"/>
      <c r="G20" s="476"/>
      <c r="H20" s="343"/>
      <c r="I20" s="7"/>
      <c r="J20" s="8"/>
      <c r="K20" s="7"/>
      <c r="L20" s="8"/>
      <c r="M20" s="7"/>
      <c r="N20" s="8"/>
    </row>
    <row r="21" spans="1:14" ht="14.25" customHeight="1" thickTop="1">
      <c r="A21" s="400"/>
      <c r="B21" s="137" t="s">
        <v>113</v>
      </c>
      <c r="C21" s="79">
        <v>232</v>
      </c>
      <c r="D21" s="149">
        <f>148.844*1.075*1.2</f>
        <v>192.00875999999997</v>
      </c>
      <c r="E21" s="413"/>
      <c r="F21" s="335"/>
      <c r="G21" s="477">
        <v>764.5</v>
      </c>
      <c r="H21" s="334">
        <v>47.23</v>
      </c>
      <c r="I21" s="7"/>
      <c r="J21" s="8"/>
      <c r="K21" s="7"/>
      <c r="L21" s="8"/>
      <c r="M21" s="7"/>
      <c r="N21" s="8"/>
    </row>
    <row r="22" spans="1:14" ht="13.5" thickBot="1">
      <c r="A22" s="400"/>
      <c r="B22" s="138" t="s">
        <v>112</v>
      </c>
      <c r="C22" s="151">
        <v>5040</v>
      </c>
      <c r="D22" s="150">
        <f>1.27*1.075*1.2</f>
        <v>1.6382999999999999</v>
      </c>
      <c r="E22" s="408"/>
      <c r="F22" s="337"/>
      <c r="G22" s="417"/>
      <c r="H22" s="337"/>
      <c r="I22" s="7"/>
      <c r="J22" s="8"/>
      <c r="K22" s="7"/>
      <c r="L22" s="8"/>
      <c r="M22" s="7"/>
      <c r="N22" s="8"/>
    </row>
    <row r="23" spans="1:14" ht="14.25" customHeight="1" thickTop="1">
      <c r="A23" s="400" t="s">
        <v>19</v>
      </c>
      <c r="B23" s="136" t="s">
        <v>94</v>
      </c>
      <c r="C23" s="152">
        <v>16320</v>
      </c>
      <c r="D23" s="148">
        <f>8.716*1.075*1.2</f>
        <v>11.243639999999997</v>
      </c>
      <c r="E23" s="412">
        <f>160+137</f>
        <v>297</v>
      </c>
      <c r="F23" s="336">
        <v>22.54</v>
      </c>
      <c r="G23" s="477">
        <v>4660</v>
      </c>
      <c r="H23" s="334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400"/>
      <c r="B24" s="137" t="s">
        <v>95</v>
      </c>
      <c r="C24" s="79">
        <v>8940</v>
      </c>
      <c r="D24" s="149">
        <f>(4.05+0.744+0.093)*1.075*1.2</f>
        <v>6.304229999999999</v>
      </c>
      <c r="E24" s="413"/>
      <c r="F24" s="335"/>
      <c r="G24" s="476"/>
      <c r="H24" s="343"/>
      <c r="I24" s="14"/>
      <c r="J24" s="8"/>
      <c r="K24" s="7"/>
      <c r="L24" s="8"/>
      <c r="M24" s="7"/>
      <c r="N24" s="8"/>
    </row>
    <row r="25" spans="1:14" ht="14.25" customHeight="1" thickTop="1">
      <c r="A25" s="400"/>
      <c r="B25" s="137" t="s">
        <v>113</v>
      </c>
      <c r="C25" s="79">
        <v>232</v>
      </c>
      <c r="D25" s="149">
        <f>148.844*1.075*1.2</f>
        <v>192.00875999999997</v>
      </c>
      <c r="E25" s="413"/>
      <c r="F25" s="335"/>
      <c r="G25" s="477">
        <v>764.5</v>
      </c>
      <c r="H25" s="334">
        <v>47.23</v>
      </c>
      <c r="I25" s="14"/>
      <c r="J25" s="8"/>
      <c r="K25" s="7"/>
      <c r="L25" s="8"/>
      <c r="M25" s="7"/>
      <c r="N25" s="8"/>
    </row>
    <row r="26" spans="1:14" ht="13.5" thickBot="1">
      <c r="A26" s="400"/>
      <c r="B26" s="138" t="s">
        <v>112</v>
      </c>
      <c r="C26" s="151">
        <v>5640</v>
      </c>
      <c r="D26" s="150">
        <f>1.27*1.075*1.2</f>
        <v>1.6382999999999999</v>
      </c>
      <c r="E26" s="408"/>
      <c r="F26" s="337"/>
      <c r="G26" s="417"/>
      <c r="H26" s="337"/>
      <c r="I26" s="14"/>
      <c r="J26" s="8"/>
      <c r="K26" s="7"/>
      <c r="L26" s="8"/>
      <c r="M26" s="7"/>
      <c r="N26" s="8"/>
    </row>
    <row r="27" spans="1:14" ht="12.75" customHeight="1" thickTop="1">
      <c r="A27" s="397" t="s">
        <v>20</v>
      </c>
      <c r="B27" s="136" t="s">
        <v>94</v>
      </c>
      <c r="C27" s="152">
        <v>15240</v>
      </c>
      <c r="D27" s="148">
        <f>8.716*1.075*1.2</f>
        <v>11.243639999999997</v>
      </c>
      <c r="E27" s="412">
        <f>164+166</f>
        <v>330</v>
      </c>
      <c r="F27" s="336">
        <v>22.54</v>
      </c>
      <c r="G27" s="477">
        <v>0</v>
      </c>
      <c r="H27" s="334">
        <v>5.81</v>
      </c>
      <c r="I27" s="14"/>
      <c r="J27" s="15"/>
      <c r="K27" s="14"/>
      <c r="L27" s="15"/>
      <c r="M27" s="14"/>
      <c r="N27" s="15"/>
    </row>
    <row r="28" spans="1:14" ht="12.75" customHeight="1" thickBot="1">
      <c r="A28" s="398"/>
      <c r="B28" s="137" t="s">
        <v>95</v>
      </c>
      <c r="C28" s="79">
        <v>8940</v>
      </c>
      <c r="D28" s="149">
        <f>(4.05+0.744+0.093)*1.075*1.2</f>
        <v>6.304229999999999</v>
      </c>
      <c r="E28" s="413"/>
      <c r="F28" s="335"/>
      <c r="G28" s="476"/>
      <c r="H28" s="343"/>
      <c r="I28" s="7"/>
      <c r="J28" s="8"/>
      <c r="K28" s="7"/>
      <c r="L28" s="8"/>
      <c r="M28" s="7"/>
      <c r="N28" s="8"/>
    </row>
    <row r="29" spans="1:14" ht="12.75" customHeight="1" thickTop="1">
      <c r="A29" s="398"/>
      <c r="B29" s="137" t="s">
        <v>113</v>
      </c>
      <c r="C29" s="79">
        <v>232</v>
      </c>
      <c r="D29" s="149">
        <f>148.844*1.075*1.2</f>
        <v>192.00875999999997</v>
      </c>
      <c r="E29" s="413"/>
      <c r="F29" s="335"/>
      <c r="G29" s="477">
        <v>764.5</v>
      </c>
      <c r="H29" s="334">
        <v>47.23</v>
      </c>
      <c r="I29" s="7"/>
      <c r="J29" s="8"/>
      <c r="K29" s="7"/>
      <c r="L29" s="8"/>
      <c r="M29" s="7"/>
      <c r="N29" s="8"/>
    </row>
    <row r="30" spans="1:14" ht="12.75" customHeight="1" thickBot="1">
      <c r="A30" s="398"/>
      <c r="B30" s="138" t="s">
        <v>112</v>
      </c>
      <c r="C30" s="151">
        <v>5880</v>
      </c>
      <c r="D30" s="150">
        <f>1.27*1.075*1.2</f>
        <v>1.6382999999999999</v>
      </c>
      <c r="E30" s="413"/>
      <c r="F30" s="335"/>
      <c r="G30" s="417"/>
      <c r="H30" s="337"/>
      <c r="I30" s="7"/>
      <c r="J30" s="8"/>
      <c r="K30" s="7"/>
      <c r="L30" s="8"/>
      <c r="M30" s="7"/>
      <c r="N30" s="8"/>
    </row>
    <row r="31" spans="1:14" ht="12.75" customHeight="1" thickTop="1">
      <c r="A31" s="397" t="s">
        <v>68</v>
      </c>
      <c r="B31" s="136" t="s">
        <v>94</v>
      </c>
      <c r="C31" s="152">
        <v>13774</v>
      </c>
      <c r="D31" s="148">
        <f>8.716*1.075*1.2</f>
        <v>11.243639999999997</v>
      </c>
      <c r="E31" s="412">
        <f>142+112</f>
        <v>254</v>
      </c>
      <c r="F31" s="336">
        <v>22.54</v>
      </c>
      <c r="G31" s="477">
        <v>0</v>
      </c>
      <c r="H31" s="334">
        <v>5.81</v>
      </c>
      <c r="I31" s="14"/>
      <c r="J31" s="15"/>
      <c r="K31" s="14"/>
      <c r="L31" s="15"/>
      <c r="M31" s="14"/>
      <c r="N31" s="15"/>
    </row>
    <row r="32" spans="1:14" ht="12.75" customHeight="1" thickBot="1">
      <c r="A32" s="398"/>
      <c r="B32" s="137" t="s">
        <v>95</v>
      </c>
      <c r="C32" s="79">
        <v>7015</v>
      </c>
      <c r="D32" s="149">
        <f>(4.05+0.744+0.093)*1.075*1.2</f>
        <v>6.304229999999999</v>
      </c>
      <c r="E32" s="413"/>
      <c r="F32" s="335"/>
      <c r="G32" s="476"/>
      <c r="H32" s="343"/>
      <c r="I32" s="7"/>
      <c r="J32" s="8"/>
      <c r="K32" s="7"/>
      <c r="L32" s="8"/>
      <c r="M32" s="7"/>
      <c r="N32" s="8"/>
    </row>
    <row r="33" spans="1:14" ht="12.75" customHeight="1" thickTop="1">
      <c r="A33" s="398"/>
      <c r="B33" s="137" t="s">
        <v>113</v>
      </c>
      <c r="C33" s="79">
        <v>232</v>
      </c>
      <c r="D33" s="149">
        <f>148.844*1.075*1.2</f>
        <v>192.00875999999997</v>
      </c>
      <c r="E33" s="413"/>
      <c r="F33" s="335"/>
      <c r="G33" s="477">
        <v>764.5</v>
      </c>
      <c r="H33" s="334">
        <v>47.23</v>
      </c>
      <c r="I33" s="7"/>
      <c r="J33" s="8"/>
      <c r="K33" s="7"/>
      <c r="L33" s="8"/>
      <c r="M33" s="7"/>
      <c r="N33" s="8"/>
    </row>
    <row r="34" spans="1:14" ht="12.75" customHeight="1" thickBot="1">
      <c r="A34" s="398"/>
      <c r="B34" s="138" t="s">
        <v>112</v>
      </c>
      <c r="C34" s="151">
        <v>6733</v>
      </c>
      <c r="D34" s="150">
        <f>1.27*1.075*1.2</f>
        <v>1.6382999999999999</v>
      </c>
      <c r="E34" s="413"/>
      <c r="F34" s="335"/>
      <c r="G34" s="417"/>
      <c r="H34" s="337"/>
      <c r="I34" s="7"/>
      <c r="J34" s="8"/>
      <c r="K34" s="7"/>
      <c r="L34" s="8"/>
      <c r="M34" s="7"/>
      <c r="N34" s="8"/>
    </row>
    <row r="35" spans="1:14" ht="15" customHeight="1" thickTop="1">
      <c r="A35" s="397" t="s">
        <v>69</v>
      </c>
      <c r="B35" s="136" t="s">
        <v>94</v>
      </c>
      <c r="C35" s="153">
        <v>13560</v>
      </c>
      <c r="D35" s="148">
        <f>8.716*1.075*1.2</f>
        <v>11.243639999999997</v>
      </c>
      <c r="E35" s="412">
        <f>148+92</f>
        <v>240</v>
      </c>
      <c r="F35" s="336">
        <v>22.54</v>
      </c>
      <c r="G35" s="477">
        <v>0</v>
      </c>
      <c r="H35" s="334">
        <v>5.81</v>
      </c>
      <c r="I35" s="14"/>
      <c r="J35" s="15"/>
      <c r="K35" s="14"/>
      <c r="L35" s="15"/>
      <c r="M35" s="14"/>
      <c r="N35" s="15"/>
    </row>
    <row r="36" spans="1:14" ht="15" customHeight="1" thickBot="1">
      <c r="A36" s="398"/>
      <c r="B36" s="137" t="s">
        <v>95</v>
      </c>
      <c r="C36" s="153">
        <v>6300</v>
      </c>
      <c r="D36" s="149">
        <f>(4.05+0.744+0.093)*1.075*1.2</f>
        <v>6.304229999999999</v>
      </c>
      <c r="E36" s="413"/>
      <c r="F36" s="335"/>
      <c r="G36" s="476"/>
      <c r="H36" s="343"/>
      <c r="I36" s="7"/>
      <c r="J36" s="8"/>
      <c r="K36" s="7"/>
      <c r="L36" s="8"/>
      <c r="M36" s="7"/>
      <c r="N36" s="8"/>
    </row>
    <row r="37" spans="1:14" ht="15" customHeight="1" thickTop="1">
      <c r="A37" s="398"/>
      <c r="B37" s="137" t="s">
        <v>113</v>
      </c>
      <c r="C37" s="153">
        <v>232</v>
      </c>
      <c r="D37" s="149">
        <f>148.844*1.075*1.2</f>
        <v>192.00875999999997</v>
      </c>
      <c r="E37" s="413"/>
      <c r="F37" s="335"/>
      <c r="G37" s="477">
        <v>764.5</v>
      </c>
      <c r="H37" s="334">
        <v>47.23</v>
      </c>
      <c r="I37" s="7"/>
      <c r="J37" s="8"/>
      <c r="K37" s="7"/>
      <c r="L37" s="8"/>
      <c r="M37" s="7"/>
      <c r="N37" s="8"/>
    </row>
    <row r="38" spans="1:14" ht="15" customHeight="1" thickBot="1">
      <c r="A38" s="411"/>
      <c r="B38" s="138" t="s">
        <v>112</v>
      </c>
      <c r="C38" s="153">
        <v>5880</v>
      </c>
      <c r="D38" s="150">
        <f>1.27*1.075*1.2</f>
        <v>1.6382999999999999</v>
      </c>
      <c r="E38" s="408"/>
      <c r="F38" s="337"/>
      <c r="G38" s="417"/>
      <c r="H38" s="337"/>
      <c r="I38" s="21"/>
      <c r="J38" s="22"/>
      <c r="K38" s="21"/>
      <c r="L38" s="22"/>
      <c r="M38" s="21"/>
      <c r="N38" s="22"/>
    </row>
    <row r="39" spans="1:14" ht="15" customHeight="1" thickTop="1">
      <c r="A39" s="397" t="s">
        <v>22</v>
      </c>
      <c r="B39" s="136" t="s">
        <v>94</v>
      </c>
      <c r="C39" s="152">
        <v>14760</v>
      </c>
      <c r="D39" s="148">
        <f>8.716*1.075*1.2</f>
        <v>11.243639999999997</v>
      </c>
      <c r="E39" s="412">
        <f>151+94</f>
        <v>245</v>
      </c>
      <c r="F39" s="336">
        <v>22.54</v>
      </c>
      <c r="G39" s="477">
        <v>0</v>
      </c>
      <c r="H39" s="334">
        <v>5.81</v>
      </c>
      <c r="I39" s="21"/>
      <c r="J39" s="22"/>
      <c r="K39" s="21"/>
      <c r="L39" s="22"/>
      <c r="M39" s="21"/>
      <c r="N39" s="22"/>
    </row>
    <row r="40" spans="1:14" ht="15" customHeight="1" thickBot="1">
      <c r="A40" s="398"/>
      <c r="B40" s="137" t="s">
        <v>95</v>
      </c>
      <c r="C40" s="79">
        <v>7320</v>
      </c>
      <c r="D40" s="149">
        <f>(4.05+0.744+0.093)*1.075*1.2</f>
        <v>6.304229999999999</v>
      </c>
      <c r="E40" s="413"/>
      <c r="F40" s="335"/>
      <c r="G40" s="476"/>
      <c r="H40" s="343"/>
      <c r="I40" s="21"/>
      <c r="J40" s="22"/>
      <c r="K40" s="21"/>
      <c r="L40" s="22"/>
      <c r="M40" s="21"/>
      <c r="N40" s="22"/>
    </row>
    <row r="41" spans="1:14" ht="15" customHeight="1" thickTop="1">
      <c r="A41" s="398"/>
      <c r="B41" s="137" t="s">
        <v>113</v>
      </c>
      <c r="C41" s="79">
        <v>232</v>
      </c>
      <c r="D41" s="149">
        <f>148.844*1.075*1.2</f>
        <v>192.00875999999997</v>
      </c>
      <c r="E41" s="413"/>
      <c r="F41" s="335"/>
      <c r="G41" s="477">
        <v>764.5</v>
      </c>
      <c r="H41" s="334">
        <v>47.23</v>
      </c>
      <c r="I41" s="21"/>
      <c r="J41" s="22"/>
      <c r="K41" s="21"/>
      <c r="L41" s="22"/>
      <c r="M41" s="21"/>
      <c r="N41" s="22"/>
    </row>
    <row r="42" spans="1:14" ht="15" customHeight="1" thickBot="1">
      <c r="A42" s="411"/>
      <c r="B42" s="138" t="s">
        <v>112</v>
      </c>
      <c r="C42" s="151">
        <v>6840</v>
      </c>
      <c r="D42" s="150">
        <f>1.27*1.075*1.2</f>
        <v>1.6382999999999999</v>
      </c>
      <c r="E42" s="408"/>
      <c r="F42" s="337"/>
      <c r="G42" s="417"/>
      <c r="H42" s="337"/>
      <c r="I42" s="21"/>
      <c r="J42" s="22"/>
      <c r="K42" s="21"/>
      <c r="L42" s="22"/>
      <c r="M42" s="21"/>
      <c r="N42" s="22"/>
    </row>
    <row r="43" spans="1:14" ht="15" customHeight="1" thickTop="1">
      <c r="A43" s="397" t="s">
        <v>23</v>
      </c>
      <c r="B43" s="136" t="s">
        <v>94</v>
      </c>
      <c r="C43" s="152">
        <v>13797</v>
      </c>
      <c r="D43" s="148">
        <f>9.776*1.075*1.2</f>
        <v>12.61104</v>
      </c>
      <c r="E43" s="412">
        <f>147+130</f>
        <v>277</v>
      </c>
      <c r="F43" s="336">
        <v>22.54</v>
      </c>
      <c r="G43" s="477">
        <v>0</v>
      </c>
      <c r="H43" s="334">
        <v>5.81</v>
      </c>
      <c r="I43" s="21"/>
      <c r="J43" s="22"/>
      <c r="K43" s="21"/>
      <c r="L43" s="22"/>
      <c r="M43" s="21"/>
      <c r="N43" s="22"/>
    </row>
    <row r="44" spans="1:14" ht="15" customHeight="1" thickBot="1">
      <c r="A44" s="398"/>
      <c r="B44" s="137" t="s">
        <v>95</v>
      </c>
      <c r="C44" s="79">
        <v>7172</v>
      </c>
      <c r="D44" s="149">
        <f>5.557*1.075*1.2</f>
        <v>7.16853</v>
      </c>
      <c r="E44" s="413"/>
      <c r="F44" s="335"/>
      <c r="G44" s="476"/>
      <c r="H44" s="343"/>
      <c r="I44" s="21"/>
      <c r="J44" s="22"/>
      <c r="K44" s="21"/>
      <c r="L44" s="22"/>
      <c r="M44" s="21"/>
      <c r="N44" s="22"/>
    </row>
    <row r="45" spans="1:14" ht="15" customHeight="1" thickTop="1">
      <c r="A45" s="398"/>
      <c r="B45" s="137" t="s">
        <v>113</v>
      </c>
      <c r="C45" s="79">
        <v>232</v>
      </c>
      <c r="D45" s="149">
        <f>148.844*1.075*1.2</f>
        <v>192.00875999999997</v>
      </c>
      <c r="E45" s="413"/>
      <c r="F45" s="335"/>
      <c r="G45" s="477">
        <v>764.5</v>
      </c>
      <c r="H45" s="334">
        <v>47.23</v>
      </c>
      <c r="I45" s="21"/>
      <c r="J45" s="22"/>
      <c r="K45" s="21"/>
      <c r="L45" s="22"/>
      <c r="M45" s="21"/>
      <c r="N45" s="22"/>
    </row>
    <row r="46" spans="1:14" ht="13.5" thickBot="1">
      <c r="A46" s="411"/>
      <c r="B46" s="138" t="s">
        <v>112</v>
      </c>
      <c r="C46" s="151">
        <v>5462</v>
      </c>
      <c r="D46" s="150">
        <f>1.27*1.075*1.2</f>
        <v>1.6382999999999999</v>
      </c>
      <c r="E46" s="408"/>
      <c r="F46" s="337"/>
      <c r="G46" s="417"/>
      <c r="H46" s="337"/>
      <c r="I46" s="4"/>
      <c r="J46" s="5"/>
      <c r="K46" s="4"/>
      <c r="L46" s="5"/>
      <c r="M46" s="4"/>
      <c r="N46" s="5"/>
    </row>
    <row r="47" spans="1:14" ht="15" customHeight="1" thickTop="1">
      <c r="A47" s="478" t="s">
        <v>24</v>
      </c>
      <c r="B47" s="77" t="s">
        <v>94</v>
      </c>
      <c r="C47" s="106">
        <v>18802</v>
      </c>
      <c r="D47" s="148">
        <f>9.776*1.075*1.2</f>
        <v>12.61104</v>
      </c>
      <c r="E47" s="412">
        <f>139+161</f>
        <v>300</v>
      </c>
      <c r="F47" s="336">
        <v>22.54</v>
      </c>
      <c r="G47" s="477">
        <v>0</v>
      </c>
      <c r="H47" s="334">
        <v>5.81</v>
      </c>
      <c r="I47" s="4"/>
      <c r="J47" s="5"/>
      <c r="K47" s="4"/>
      <c r="L47" s="5"/>
      <c r="M47" s="4"/>
      <c r="N47" s="5"/>
    </row>
    <row r="48" spans="1:14" ht="15" customHeight="1" thickBot="1">
      <c r="A48" s="478"/>
      <c r="B48" s="78" t="s">
        <v>95</v>
      </c>
      <c r="C48" s="107">
        <v>9480</v>
      </c>
      <c r="D48" s="149">
        <f>5.557*1.075*1.2</f>
        <v>7.16853</v>
      </c>
      <c r="E48" s="413"/>
      <c r="F48" s="335"/>
      <c r="G48" s="476"/>
      <c r="H48" s="343"/>
      <c r="I48" s="4"/>
      <c r="J48" s="5"/>
      <c r="K48" s="4"/>
      <c r="L48" s="5"/>
      <c r="M48" s="4"/>
      <c r="N48" s="5"/>
    </row>
    <row r="49" spans="1:14" ht="15" customHeight="1" thickTop="1">
      <c r="A49" s="478"/>
      <c r="B49" s="78" t="s">
        <v>113</v>
      </c>
      <c r="C49" s="107">
        <v>232</v>
      </c>
      <c r="D49" s="149">
        <f>148.844*1.075*1.2</f>
        <v>192.00875999999997</v>
      </c>
      <c r="E49" s="413"/>
      <c r="F49" s="335"/>
      <c r="G49" s="477">
        <v>764.5</v>
      </c>
      <c r="H49" s="334">
        <v>47.23</v>
      </c>
      <c r="I49" s="4"/>
      <c r="J49" s="5"/>
      <c r="K49" s="4"/>
      <c r="L49" s="5"/>
      <c r="M49" s="4"/>
      <c r="N49" s="5"/>
    </row>
    <row r="50" spans="1:14" ht="13.5" thickBot="1">
      <c r="A50" s="344"/>
      <c r="B50" s="147" t="s">
        <v>112</v>
      </c>
      <c r="C50" s="118">
        <f>4358+1975</f>
        <v>6333</v>
      </c>
      <c r="D50" s="150">
        <f>1.27*1.075*1.2</f>
        <v>1.6382999999999999</v>
      </c>
      <c r="E50" s="408"/>
      <c r="F50" s="337"/>
      <c r="G50" s="417"/>
      <c r="H50" s="337"/>
      <c r="I50" s="4"/>
      <c r="J50" s="5"/>
      <c r="K50" s="4"/>
      <c r="L50" s="5"/>
      <c r="M50" s="4"/>
      <c r="N50" s="5"/>
    </row>
    <row r="51" spans="1:14" ht="13.5" thickTop="1">
      <c r="A51" s="340" t="s">
        <v>25</v>
      </c>
      <c r="B51" s="77" t="s">
        <v>94</v>
      </c>
      <c r="C51" s="106"/>
      <c r="D51" s="148"/>
      <c r="E51" s="412"/>
      <c r="F51" s="336"/>
      <c r="G51" s="477"/>
      <c r="H51" s="334"/>
      <c r="I51" s="4"/>
      <c r="J51" s="5"/>
      <c r="K51" s="4"/>
      <c r="L51" s="5"/>
      <c r="M51" s="4"/>
      <c r="N51" s="5"/>
    </row>
    <row r="52" spans="1:14" ht="15" customHeight="1" thickBot="1">
      <c r="A52" s="478"/>
      <c r="B52" s="78" t="s">
        <v>95</v>
      </c>
      <c r="C52" s="107"/>
      <c r="D52" s="149"/>
      <c r="E52" s="413"/>
      <c r="F52" s="335"/>
      <c r="G52" s="476"/>
      <c r="H52" s="343"/>
      <c r="I52" s="4"/>
      <c r="J52" s="5"/>
      <c r="K52" s="4"/>
      <c r="L52" s="5"/>
      <c r="M52" s="4"/>
      <c r="N52" s="5"/>
    </row>
    <row r="53" spans="1:14" ht="15" customHeight="1" thickTop="1">
      <c r="A53" s="478"/>
      <c r="B53" s="78" t="s">
        <v>113</v>
      </c>
      <c r="C53" s="107"/>
      <c r="D53" s="149"/>
      <c r="E53" s="413"/>
      <c r="F53" s="335"/>
      <c r="G53" s="477"/>
      <c r="H53" s="334"/>
      <c r="I53" s="4"/>
      <c r="J53" s="5"/>
      <c r="K53" s="4"/>
      <c r="L53" s="5"/>
      <c r="M53" s="4"/>
      <c r="N53" s="5"/>
    </row>
    <row r="54" spans="1:14" ht="13.5" thickBot="1">
      <c r="A54" s="344"/>
      <c r="B54" s="147" t="s">
        <v>112</v>
      </c>
      <c r="C54" s="119"/>
      <c r="D54" s="150"/>
      <c r="E54" s="408"/>
      <c r="F54" s="337"/>
      <c r="G54" s="417"/>
      <c r="H54" s="337"/>
      <c r="I54" s="4"/>
      <c r="J54" s="5"/>
      <c r="K54" s="4"/>
      <c r="L54" s="5"/>
      <c r="M54" s="4"/>
      <c r="N54" s="5"/>
    </row>
    <row r="55" spans="1:14" ht="12.75">
      <c r="A55" s="340" t="s">
        <v>26</v>
      </c>
      <c r="B55" s="77" t="s">
        <v>94</v>
      </c>
      <c r="C55" s="107"/>
      <c r="D55" s="148"/>
      <c r="E55" s="412"/>
      <c r="F55" s="336"/>
      <c r="G55" s="480"/>
      <c r="H55" s="336"/>
      <c r="I55" s="14"/>
      <c r="J55" s="15"/>
      <c r="K55" s="14"/>
      <c r="L55" s="15"/>
      <c r="M55" s="14"/>
      <c r="N55" s="15"/>
    </row>
    <row r="56" spans="1:14" ht="15" customHeight="1">
      <c r="A56" s="478"/>
      <c r="B56" s="78" t="s">
        <v>95</v>
      </c>
      <c r="C56" s="107"/>
      <c r="D56" s="149"/>
      <c r="E56" s="413"/>
      <c r="F56" s="335"/>
      <c r="G56" s="416"/>
      <c r="H56" s="335"/>
      <c r="I56" s="14"/>
      <c r="J56" s="15"/>
      <c r="K56" s="14"/>
      <c r="L56" s="15"/>
      <c r="M56" s="14"/>
      <c r="N56" s="15"/>
    </row>
    <row r="57" spans="1:14" ht="15" customHeight="1">
      <c r="A57" s="478"/>
      <c r="B57" s="78" t="s">
        <v>113</v>
      </c>
      <c r="C57" s="107"/>
      <c r="D57" s="149"/>
      <c r="E57" s="413"/>
      <c r="F57" s="335"/>
      <c r="G57" s="416"/>
      <c r="H57" s="335"/>
      <c r="I57" s="14"/>
      <c r="J57" s="15"/>
      <c r="K57" s="14"/>
      <c r="L57" s="15"/>
      <c r="M57" s="14"/>
      <c r="N57" s="15"/>
    </row>
    <row r="58" spans="1:14" ht="13.5" thickBot="1">
      <c r="A58" s="341"/>
      <c r="B58" s="147" t="s">
        <v>112</v>
      </c>
      <c r="C58" s="118"/>
      <c r="D58" s="150"/>
      <c r="E58" s="312"/>
      <c r="F58" s="343"/>
      <c r="G58" s="417"/>
      <c r="H58" s="337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3" t="s">
        <v>32</v>
      </c>
      <c r="B60" s="323"/>
      <c r="C60" s="323"/>
      <c r="D60" s="324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3" t="s">
        <v>35</v>
      </c>
      <c r="C62" s="323"/>
      <c r="D62" s="323"/>
      <c r="E62" s="324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3" t="s">
        <v>34</v>
      </c>
      <c r="C63" s="323"/>
      <c r="D63" s="32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  <mergeCell ref="H55:H56"/>
    <mergeCell ref="G57:G58"/>
    <mergeCell ref="H57:H58"/>
    <mergeCell ref="H51:H52"/>
    <mergeCell ref="G53:G54"/>
    <mergeCell ref="H53:H54"/>
    <mergeCell ref="G51:G52"/>
    <mergeCell ref="G55:G56"/>
    <mergeCell ref="F47:F50"/>
    <mergeCell ref="B63:D63"/>
    <mergeCell ref="B62:E62"/>
    <mergeCell ref="A55:A58"/>
    <mergeCell ref="E55:E58"/>
    <mergeCell ref="F55:F58"/>
    <mergeCell ref="F51:F54"/>
    <mergeCell ref="A39:A42"/>
    <mergeCell ref="A35:A38"/>
    <mergeCell ref="A47:A50"/>
    <mergeCell ref="E47:E50"/>
    <mergeCell ref="E35:E38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I9:J9"/>
    <mergeCell ref="E9:E10"/>
    <mergeCell ref="F9:F10"/>
    <mergeCell ref="G9:H9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H41:H42"/>
    <mergeCell ref="E39:E42"/>
    <mergeCell ref="F39:F42"/>
    <mergeCell ref="G41:G42"/>
    <mergeCell ref="G39:G40"/>
    <mergeCell ref="H39:H40"/>
    <mergeCell ref="F19:F22"/>
    <mergeCell ref="F35:F38"/>
    <mergeCell ref="G31:G32"/>
    <mergeCell ref="G33:G34"/>
    <mergeCell ref="G35:G36"/>
    <mergeCell ref="G29:G30"/>
    <mergeCell ref="G25:G26"/>
    <mergeCell ref="G27:G28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7">
      <selection activeCell="C31" sqref="C31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0" t="s">
        <v>29</v>
      </c>
      <c r="J1" s="430"/>
      <c r="K1" s="43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30" t="s">
        <v>2</v>
      </c>
      <c r="J2" s="430"/>
      <c r="K2" s="43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0" t="s">
        <v>3</v>
      </c>
      <c r="J3" s="430"/>
      <c r="K3" s="430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436" t="s">
        <v>27</v>
      </c>
      <c r="H9" s="437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21"/>
      <c r="C10" s="322"/>
      <c r="D10" s="335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102</v>
      </c>
      <c r="C11" s="113">
        <v>0</v>
      </c>
      <c r="D11" s="116">
        <f>8.588*1.075*1.2</f>
        <v>11.07852</v>
      </c>
      <c r="E11" s="485">
        <v>3</v>
      </c>
      <c r="F11" s="334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113</v>
      </c>
      <c r="C12" s="107">
        <v>17.25</v>
      </c>
      <c r="D12" s="116">
        <f>46.514*1.075*1.2</f>
        <v>60.00306</v>
      </c>
      <c r="E12" s="460"/>
      <c r="F12" s="337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102</v>
      </c>
      <c r="C13" s="106">
        <v>177</v>
      </c>
      <c r="D13" s="116">
        <f>8.588*1.075*1.2</f>
        <v>11.07852</v>
      </c>
      <c r="E13" s="446">
        <v>2</v>
      </c>
      <c r="F13" s="426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6">
        <v>17.25</v>
      </c>
      <c r="D14" s="116">
        <f>46.514*1.075*1.2</f>
        <v>60.00306</v>
      </c>
      <c r="E14" s="460"/>
      <c r="F14" s="439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102</v>
      </c>
      <c r="C15" s="109">
        <v>0</v>
      </c>
      <c r="D15" s="116">
        <f>8.588*1.075*1.2</f>
        <v>11.07852</v>
      </c>
      <c r="E15" s="446">
        <v>6</v>
      </c>
      <c r="F15" s="336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113</v>
      </c>
      <c r="C16" s="109">
        <v>17.25</v>
      </c>
      <c r="D16" s="116">
        <f>46.514*1.075*1.2</f>
        <v>60.00306</v>
      </c>
      <c r="E16" s="460"/>
      <c r="F16" s="337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102</v>
      </c>
      <c r="C17" s="109">
        <v>136</v>
      </c>
      <c r="D17" s="116">
        <f>8.588*1.075*1.2</f>
        <v>11.07852</v>
      </c>
      <c r="E17" s="446">
        <v>2</v>
      </c>
      <c r="F17" s="336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113</v>
      </c>
      <c r="C18" s="109">
        <v>17.25</v>
      </c>
      <c r="D18" s="116">
        <f>46.514*1.075*1.2</f>
        <v>60.00306</v>
      </c>
      <c r="E18" s="460"/>
      <c r="F18" s="337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102</v>
      </c>
      <c r="C19" s="109">
        <v>51</v>
      </c>
      <c r="D19" s="116">
        <f>8.588*1.075*1.2</f>
        <v>11.07852</v>
      </c>
      <c r="E19" s="446">
        <v>2</v>
      </c>
      <c r="F19" s="336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113</v>
      </c>
      <c r="C20" s="109">
        <v>17.25</v>
      </c>
      <c r="D20" s="116">
        <f>46.514*1.075*1.2</f>
        <v>60.00306</v>
      </c>
      <c r="E20" s="460"/>
      <c r="F20" s="337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102</v>
      </c>
      <c r="C21" s="109">
        <v>0</v>
      </c>
      <c r="D21" s="116">
        <f>8.588*1.075*1.2</f>
        <v>11.07852</v>
      </c>
      <c r="E21" s="446">
        <v>2</v>
      </c>
      <c r="F21" s="336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113</v>
      </c>
      <c r="C22" s="109">
        <v>0</v>
      </c>
      <c r="D22" s="116">
        <f>46.514*1.075*1.2</f>
        <v>60.00306</v>
      </c>
      <c r="E22" s="460"/>
      <c r="F22" s="337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69</v>
      </c>
      <c r="B23" s="112" t="s">
        <v>102</v>
      </c>
      <c r="C23" s="109">
        <v>0</v>
      </c>
      <c r="D23" s="116">
        <f>8.588*1.075*1.2</f>
        <v>11.07852</v>
      </c>
      <c r="E23" s="446">
        <v>0</v>
      </c>
      <c r="F23" s="336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113</v>
      </c>
      <c r="C24" s="109">
        <v>0</v>
      </c>
      <c r="D24" s="116">
        <f>46.514*1.075*1.2</f>
        <v>60.00306</v>
      </c>
      <c r="E24" s="460"/>
      <c r="F24" s="337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102</v>
      </c>
      <c r="C25" s="109">
        <v>0</v>
      </c>
      <c r="D25" s="114">
        <f>9.548*1.075*1.2</f>
        <v>12.316919999999998</v>
      </c>
      <c r="E25" s="446">
        <v>0</v>
      </c>
      <c r="F25" s="336">
        <v>22.54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113</v>
      </c>
      <c r="C26" s="109">
        <v>0</v>
      </c>
      <c r="D26" s="120">
        <v>60</v>
      </c>
      <c r="E26" s="460"/>
      <c r="F26" s="337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102</v>
      </c>
      <c r="C27" s="109">
        <v>41</v>
      </c>
      <c r="D27" s="116">
        <v>12.32</v>
      </c>
      <c r="E27" s="446">
        <v>76</v>
      </c>
      <c r="F27" s="336">
        <v>22.54</v>
      </c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113</v>
      </c>
      <c r="C28" s="109">
        <v>17.25</v>
      </c>
      <c r="D28" s="116">
        <v>60</v>
      </c>
      <c r="E28" s="460"/>
      <c r="F28" s="337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102</v>
      </c>
      <c r="C29" s="109">
        <v>50</v>
      </c>
      <c r="D29" s="116">
        <v>12.32</v>
      </c>
      <c r="E29" s="446">
        <v>3</v>
      </c>
      <c r="F29" s="336">
        <v>22.54</v>
      </c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113</v>
      </c>
      <c r="C30" s="109">
        <v>17.25</v>
      </c>
      <c r="D30" s="116">
        <v>60</v>
      </c>
      <c r="E30" s="460"/>
      <c r="F30" s="337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102</v>
      </c>
      <c r="C31" s="109"/>
      <c r="D31" s="116"/>
      <c r="E31" s="446"/>
      <c r="F31" s="336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6"/>
      <c r="D32" s="116"/>
      <c r="E32" s="460"/>
      <c r="F32" s="337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102</v>
      </c>
      <c r="C33" s="106"/>
      <c r="D33" s="116"/>
      <c r="E33" s="481"/>
      <c r="F33" s="483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113</v>
      </c>
      <c r="C34" s="187"/>
      <c r="D34" s="116"/>
      <c r="E34" s="482"/>
      <c r="F34" s="484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3"/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/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/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C41" sqref="C41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0" t="s">
        <v>29</v>
      </c>
      <c r="J1" s="430"/>
      <c r="K1" s="430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0" t="s">
        <v>2</v>
      </c>
      <c r="J2" s="430"/>
      <c r="K2" s="430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0" t="s">
        <v>3</v>
      </c>
      <c r="J3" s="430"/>
      <c r="K3" s="43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436" t="s">
        <v>27</v>
      </c>
      <c r="H9" s="437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61" t="s">
        <v>94</v>
      </c>
      <c r="C11" s="87">
        <v>800</v>
      </c>
      <c r="D11" s="172">
        <f>9.621*1.075*1.2</f>
        <v>12.41109</v>
      </c>
      <c r="E11" s="311">
        <v>2</v>
      </c>
      <c r="F11" s="334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98"/>
      <c r="B12" s="65" t="s">
        <v>95</v>
      </c>
      <c r="C12" s="107">
        <v>341</v>
      </c>
      <c r="D12" s="8">
        <f>4.927*1.075*1.2</f>
        <v>6.355829999999998</v>
      </c>
      <c r="E12" s="413"/>
      <c r="F12" s="335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98"/>
      <c r="B13" s="65" t="s">
        <v>113</v>
      </c>
      <c r="C13" s="107">
        <v>17.25</v>
      </c>
      <c r="D13" s="174">
        <f>46.514*1.075*1.2</f>
        <v>60.00306</v>
      </c>
      <c r="E13" s="413"/>
      <c r="F13" s="335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97" t="s">
        <v>17</v>
      </c>
      <c r="B14" s="61" t="s">
        <v>94</v>
      </c>
      <c r="C14" s="106">
        <v>530</v>
      </c>
      <c r="D14" s="172">
        <f>9.621*1.075*1.2</f>
        <v>12.41109</v>
      </c>
      <c r="E14" s="412">
        <v>5</v>
      </c>
      <c r="F14" s="336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98"/>
      <c r="B15" s="65" t="s">
        <v>95</v>
      </c>
      <c r="C15" s="107">
        <v>699</v>
      </c>
      <c r="D15" s="8">
        <f>4.927*1.075*1.2</f>
        <v>6.355829999999998</v>
      </c>
      <c r="E15" s="413"/>
      <c r="F15" s="335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98"/>
      <c r="B16" s="65" t="s">
        <v>113</v>
      </c>
      <c r="C16" s="107">
        <v>17.25</v>
      </c>
      <c r="D16" s="174">
        <f>46.514*1.075*1.2</f>
        <v>60.00306</v>
      </c>
      <c r="E16" s="413"/>
      <c r="F16" s="335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97" t="s">
        <v>18</v>
      </c>
      <c r="B17" s="61" t="s">
        <v>94</v>
      </c>
      <c r="C17" s="204">
        <v>798</v>
      </c>
      <c r="D17" s="172">
        <f>9.621*1.075*1.2</f>
        <v>12.41109</v>
      </c>
      <c r="E17" s="412">
        <v>2</v>
      </c>
      <c r="F17" s="336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98"/>
      <c r="B18" s="65" t="s">
        <v>95</v>
      </c>
      <c r="C18" s="107">
        <v>918</v>
      </c>
      <c r="D18" s="8">
        <f>4.927*1.075*1.2</f>
        <v>6.355829999999998</v>
      </c>
      <c r="E18" s="413"/>
      <c r="F18" s="335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98"/>
      <c r="B19" s="65" t="s">
        <v>113</v>
      </c>
      <c r="C19" s="107">
        <v>17.25</v>
      </c>
      <c r="D19" s="174">
        <f>46.514*1.075*1.2</f>
        <v>60.00306</v>
      </c>
      <c r="E19" s="413"/>
      <c r="F19" s="335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97" t="s">
        <v>19</v>
      </c>
      <c r="B20" s="61" t="s">
        <v>94</v>
      </c>
      <c r="C20" s="106">
        <v>178</v>
      </c>
      <c r="D20" s="172">
        <f>9.621*1.075*1.2</f>
        <v>12.41109</v>
      </c>
      <c r="E20" s="412">
        <v>7</v>
      </c>
      <c r="F20" s="336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98"/>
      <c r="B21" s="65" t="s">
        <v>95</v>
      </c>
      <c r="C21" s="107">
        <v>284</v>
      </c>
      <c r="D21" s="8">
        <f>4.927*1.075*1.2</f>
        <v>6.355829999999998</v>
      </c>
      <c r="E21" s="413"/>
      <c r="F21" s="335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98"/>
      <c r="B22" s="65" t="s">
        <v>113</v>
      </c>
      <c r="C22" s="107">
        <v>17.25</v>
      </c>
      <c r="D22" s="174">
        <f>46.514*1.075*1.2</f>
        <v>60.00306</v>
      </c>
      <c r="E22" s="413"/>
      <c r="F22" s="335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97" t="s">
        <v>20</v>
      </c>
      <c r="B23" s="61" t="s">
        <v>94</v>
      </c>
      <c r="C23" s="106">
        <v>166</v>
      </c>
      <c r="D23" s="172">
        <f>9.621*1.075*1.2</f>
        <v>12.41109</v>
      </c>
      <c r="E23" s="412">
        <v>5</v>
      </c>
      <c r="F23" s="336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98"/>
      <c r="B24" s="65" t="s">
        <v>95</v>
      </c>
      <c r="C24" s="107">
        <v>57</v>
      </c>
      <c r="D24" s="8">
        <f>4.927*1.075*1.2</f>
        <v>6.355829999999998</v>
      </c>
      <c r="E24" s="413"/>
      <c r="F24" s="335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98"/>
      <c r="B25" s="65" t="s">
        <v>113</v>
      </c>
      <c r="C25" s="107">
        <v>17.25</v>
      </c>
      <c r="D25" s="174">
        <f>46.514*1.075*1.2</f>
        <v>60.00306</v>
      </c>
      <c r="E25" s="413"/>
      <c r="F25" s="335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97" t="s">
        <v>68</v>
      </c>
      <c r="B26" s="61" t="s">
        <v>94</v>
      </c>
      <c r="C26" s="106">
        <v>0</v>
      </c>
      <c r="D26" s="172">
        <f>9.621*1.075*1.2</f>
        <v>12.41109</v>
      </c>
      <c r="E26" s="412">
        <v>0</v>
      </c>
      <c r="F26" s="336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98"/>
      <c r="B27" s="65" t="s">
        <v>95</v>
      </c>
      <c r="C27" s="107">
        <v>0</v>
      </c>
      <c r="D27" s="8">
        <f>4.927*1.075*1.2</f>
        <v>6.355829999999998</v>
      </c>
      <c r="E27" s="413"/>
      <c r="F27" s="335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98"/>
      <c r="B28" s="65" t="s">
        <v>113</v>
      </c>
      <c r="C28" s="107">
        <v>17.25</v>
      </c>
      <c r="D28" s="174">
        <f>46.514*1.075*1.2</f>
        <v>60.00306</v>
      </c>
      <c r="E28" s="413"/>
      <c r="F28" s="335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97" t="s">
        <v>69</v>
      </c>
      <c r="B29" s="61" t="s">
        <v>94</v>
      </c>
      <c r="C29" s="106">
        <v>103</v>
      </c>
      <c r="D29" s="172">
        <f>9.621*1.075*1.2</f>
        <v>12.41109</v>
      </c>
      <c r="E29" s="412">
        <v>0</v>
      </c>
      <c r="F29" s="336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98"/>
      <c r="B30" s="65" t="s">
        <v>95</v>
      </c>
      <c r="C30" s="107">
        <v>56</v>
      </c>
      <c r="D30" s="8">
        <f>4.927*1.075*1.2</f>
        <v>6.355829999999998</v>
      </c>
      <c r="E30" s="413"/>
      <c r="F30" s="335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98"/>
      <c r="B31" s="65" t="s">
        <v>113</v>
      </c>
      <c r="C31" s="107">
        <v>17.25</v>
      </c>
      <c r="D31" s="174">
        <f>46.514*1.075*1.2</f>
        <v>60.00306</v>
      </c>
      <c r="E31" s="413"/>
      <c r="F31" s="335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97" t="s">
        <v>22</v>
      </c>
      <c r="B32" s="61" t="s">
        <v>94</v>
      </c>
      <c r="C32" s="106">
        <v>0</v>
      </c>
      <c r="D32" s="172"/>
      <c r="E32" s="412">
        <v>0</v>
      </c>
      <c r="F32" s="336">
        <v>22.54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98"/>
      <c r="B33" s="65" t="s">
        <v>95</v>
      </c>
      <c r="C33" s="107">
        <v>0</v>
      </c>
      <c r="D33" s="8"/>
      <c r="E33" s="413"/>
      <c r="F33" s="335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98"/>
      <c r="B34" s="65" t="s">
        <v>113</v>
      </c>
      <c r="C34" s="107">
        <v>0</v>
      </c>
      <c r="D34" s="174"/>
      <c r="E34" s="413"/>
      <c r="F34" s="335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8" t="s">
        <v>23</v>
      </c>
      <c r="B35" s="188" t="s">
        <v>94</v>
      </c>
      <c r="C35" s="113">
        <v>107</v>
      </c>
      <c r="D35" s="172">
        <f>10.681*1.075*1.2</f>
        <v>13.778489999999998</v>
      </c>
      <c r="E35" s="491">
        <v>0</v>
      </c>
      <c r="F35" s="486">
        <v>22.54</v>
      </c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89"/>
      <c r="B36" s="65" t="s">
        <v>95</v>
      </c>
      <c r="C36" s="107">
        <v>46</v>
      </c>
      <c r="D36" s="8">
        <f>5.597*1.075*1.2</f>
        <v>7.220129999999999</v>
      </c>
      <c r="E36" s="413"/>
      <c r="F36" s="450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0"/>
      <c r="B37" s="189" t="s">
        <v>113</v>
      </c>
      <c r="C37" s="121">
        <v>17.25</v>
      </c>
      <c r="D37" s="174">
        <v>60.0031</v>
      </c>
      <c r="E37" s="492"/>
      <c r="F37" s="451"/>
      <c r="G37" s="111"/>
      <c r="H37" s="5"/>
      <c r="I37" s="4"/>
      <c r="J37" s="5"/>
      <c r="K37" s="4"/>
      <c r="L37" s="5"/>
      <c r="M37" s="4"/>
      <c r="N37" s="5"/>
    </row>
    <row r="38" spans="1:14" ht="12.75">
      <c r="A38" s="398" t="s">
        <v>24</v>
      </c>
      <c r="B38" s="65" t="s">
        <v>94</v>
      </c>
      <c r="C38" s="107">
        <v>337</v>
      </c>
      <c r="D38" s="172">
        <f>10.681*1.075*1.2</f>
        <v>13.778489999999998</v>
      </c>
      <c r="E38" s="413">
        <v>5</v>
      </c>
      <c r="F38" s="335">
        <v>22.54</v>
      </c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98"/>
      <c r="B39" s="65" t="s">
        <v>95</v>
      </c>
      <c r="C39" s="107">
        <v>226</v>
      </c>
      <c r="D39" s="8">
        <f>5.597*1.075*1.2</f>
        <v>7.220129999999999</v>
      </c>
      <c r="E39" s="413"/>
      <c r="F39" s="335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98"/>
      <c r="B40" s="65" t="s">
        <v>113</v>
      </c>
      <c r="C40" s="107">
        <v>17.25</v>
      </c>
      <c r="D40" s="174">
        <v>60.0031</v>
      </c>
      <c r="E40" s="413"/>
      <c r="F40" s="335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97" t="s">
        <v>25</v>
      </c>
      <c r="B41" s="61" t="s">
        <v>94</v>
      </c>
      <c r="C41" s="106"/>
      <c r="D41" s="172"/>
      <c r="E41" s="412"/>
      <c r="F41" s="336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98"/>
      <c r="B42" s="65" t="s">
        <v>95</v>
      </c>
      <c r="C42" s="107"/>
      <c r="D42" s="8"/>
      <c r="E42" s="413"/>
      <c r="F42" s="335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98"/>
      <c r="B43" s="65" t="s">
        <v>113</v>
      </c>
      <c r="C43" s="107"/>
      <c r="D43" s="174"/>
      <c r="E43" s="413"/>
      <c r="F43" s="335"/>
      <c r="G43" s="4"/>
      <c r="H43" s="5"/>
      <c r="I43" s="4"/>
      <c r="J43" s="5"/>
      <c r="K43" s="4"/>
      <c r="L43" s="5"/>
      <c r="M43" s="4"/>
      <c r="N43" s="5"/>
    </row>
    <row r="44" spans="1:14" ht="12.75">
      <c r="A44" s="401" t="s">
        <v>26</v>
      </c>
      <c r="B44" s="171" t="s">
        <v>94</v>
      </c>
      <c r="C44" s="113"/>
      <c r="D44" s="172"/>
      <c r="E44" s="434"/>
      <c r="F44" s="486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02"/>
      <c r="B45" s="161" t="s">
        <v>95</v>
      </c>
      <c r="C45" s="107"/>
      <c r="D45" s="8"/>
      <c r="E45" s="322"/>
      <c r="F45" s="450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3"/>
      <c r="B46" s="173" t="s">
        <v>113</v>
      </c>
      <c r="C46" s="121"/>
      <c r="D46" s="174"/>
      <c r="E46" s="435"/>
      <c r="F46" s="487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25">
      <selection activeCell="I38" sqref="I38:I40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5" customHeight="1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5" customHeight="1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5" customHeight="1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436" t="s">
        <v>27</v>
      </c>
      <c r="H9" s="437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customHeight="1" thickBot="1">
      <c r="A10" s="310"/>
      <c r="B10" s="496"/>
      <c r="C10" s="339"/>
      <c r="D10" s="335"/>
      <c r="E10" s="312"/>
      <c r="F10" s="34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7" t="s">
        <v>16</v>
      </c>
      <c r="B11" s="130" t="s">
        <v>100</v>
      </c>
      <c r="C11" s="142">
        <v>0</v>
      </c>
      <c r="D11" s="130"/>
      <c r="E11" s="88"/>
      <c r="F11" s="6"/>
      <c r="G11" s="9"/>
      <c r="H11" s="140"/>
      <c r="I11" s="440"/>
      <c r="J11" s="440"/>
      <c r="K11" s="130"/>
      <c r="L11" s="130"/>
      <c r="M11" s="130"/>
      <c r="N11" s="130"/>
    </row>
    <row r="12" spans="1:14" ht="15" customHeight="1">
      <c r="A12" s="478"/>
      <c r="B12" s="131" t="s">
        <v>115</v>
      </c>
      <c r="C12" s="131">
        <v>0</v>
      </c>
      <c r="D12" s="130"/>
      <c r="E12" s="85"/>
      <c r="F12" s="8"/>
      <c r="G12" s="12"/>
      <c r="H12" s="139"/>
      <c r="I12" s="441"/>
      <c r="J12" s="441"/>
      <c r="K12" s="130"/>
      <c r="L12" s="130"/>
      <c r="M12" s="130"/>
      <c r="N12" s="130"/>
    </row>
    <row r="13" spans="1:14" ht="15" customHeight="1">
      <c r="A13" s="344"/>
      <c r="B13" s="131" t="s">
        <v>111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42"/>
      <c r="J13" s="442"/>
      <c r="K13" s="130"/>
      <c r="L13" s="130"/>
      <c r="M13" s="130"/>
      <c r="N13" s="130"/>
    </row>
    <row r="14" spans="1:14" ht="15" customHeight="1">
      <c r="A14" s="340" t="s">
        <v>17</v>
      </c>
      <c r="B14" s="130" t="s">
        <v>100</v>
      </c>
      <c r="C14" s="130">
        <v>0</v>
      </c>
      <c r="D14" s="130"/>
      <c r="E14" s="85"/>
      <c r="F14" s="8"/>
      <c r="G14" s="12"/>
      <c r="H14" s="139"/>
      <c r="I14" s="497"/>
      <c r="J14" s="440"/>
      <c r="K14" s="130"/>
      <c r="L14" s="130"/>
      <c r="M14" s="130"/>
      <c r="N14" s="130"/>
    </row>
    <row r="15" spans="1:14" ht="15" customHeight="1">
      <c r="A15" s="478"/>
      <c r="B15" s="130" t="s">
        <v>101</v>
      </c>
      <c r="C15" s="130">
        <v>0</v>
      </c>
      <c r="D15" s="130"/>
      <c r="E15" s="85"/>
      <c r="F15" s="8"/>
      <c r="G15" s="12"/>
      <c r="H15" s="139"/>
      <c r="I15" s="498"/>
      <c r="J15" s="441"/>
      <c r="K15" s="130"/>
      <c r="L15" s="130"/>
      <c r="M15" s="130"/>
      <c r="N15" s="130"/>
    </row>
    <row r="16" spans="1:14" ht="15" customHeight="1">
      <c r="A16" s="344"/>
      <c r="B16" s="130" t="s">
        <v>113</v>
      </c>
      <c r="C16" s="130">
        <v>34.5</v>
      </c>
      <c r="D16" s="130">
        <f>46.514*1.075*1.2</f>
        <v>60.00306</v>
      </c>
      <c r="E16" s="76"/>
      <c r="F16" s="16"/>
      <c r="G16" s="11"/>
      <c r="H16" s="141"/>
      <c r="I16" s="499"/>
      <c r="J16" s="442"/>
      <c r="K16" s="111"/>
      <c r="L16" s="5"/>
      <c r="M16" s="4"/>
      <c r="N16" s="5"/>
    </row>
    <row r="17" spans="1:14" ht="15" customHeight="1">
      <c r="A17" s="340" t="s">
        <v>18</v>
      </c>
      <c r="B17" s="130" t="s">
        <v>100</v>
      </c>
      <c r="C17" s="142">
        <v>0</v>
      </c>
      <c r="D17" s="130"/>
      <c r="E17" s="76"/>
      <c r="F17" s="16"/>
      <c r="G17" s="11"/>
      <c r="H17" s="13"/>
      <c r="I17" s="412"/>
      <c r="J17" s="336"/>
      <c r="K17" s="4"/>
      <c r="L17" s="5"/>
      <c r="M17" s="4"/>
      <c r="N17" s="5"/>
    </row>
    <row r="18" spans="1:14" ht="15" customHeight="1">
      <c r="A18" s="478"/>
      <c r="B18" s="131" t="s">
        <v>101</v>
      </c>
      <c r="C18" s="130">
        <v>0</v>
      </c>
      <c r="D18" s="130"/>
      <c r="E18" s="76"/>
      <c r="F18" s="16"/>
      <c r="G18" s="11"/>
      <c r="H18" s="13"/>
      <c r="I18" s="413"/>
      <c r="J18" s="335"/>
      <c r="K18" s="4"/>
      <c r="L18" s="5"/>
      <c r="M18" s="4"/>
      <c r="N18" s="5"/>
    </row>
    <row r="19" spans="1:14" ht="15" customHeight="1">
      <c r="A19" s="478"/>
      <c r="B19" s="130" t="s">
        <v>113</v>
      </c>
      <c r="C19" s="130">
        <v>34.5</v>
      </c>
      <c r="D19" s="130">
        <v>60.003</v>
      </c>
      <c r="E19" s="76"/>
      <c r="F19" s="16"/>
      <c r="G19" s="11"/>
      <c r="H19" s="13"/>
      <c r="I19" s="408"/>
      <c r="J19" s="337"/>
      <c r="K19" s="4"/>
      <c r="L19" s="5"/>
      <c r="M19" s="4"/>
      <c r="N19" s="5"/>
    </row>
    <row r="20" spans="1:14" ht="15" customHeight="1">
      <c r="A20" s="493" t="s">
        <v>19</v>
      </c>
      <c r="B20" s="130" t="s">
        <v>100</v>
      </c>
      <c r="C20" s="109">
        <v>0</v>
      </c>
      <c r="D20" s="130"/>
      <c r="E20" s="111"/>
      <c r="F20" s="5"/>
      <c r="G20" s="4"/>
      <c r="H20" s="5"/>
      <c r="I20" s="412">
        <v>1076</v>
      </c>
      <c r="J20" s="336">
        <f>121.12*1.2</f>
        <v>145.344</v>
      </c>
      <c r="K20" s="4"/>
      <c r="L20" s="5"/>
      <c r="M20" s="4"/>
      <c r="N20" s="5"/>
    </row>
    <row r="21" spans="1:14" ht="15" customHeight="1">
      <c r="A21" s="494"/>
      <c r="B21" s="131" t="s">
        <v>101</v>
      </c>
      <c r="C21" s="109">
        <v>0</v>
      </c>
      <c r="D21" s="130"/>
      <c r="E21" s="111"/>
      <c r="F21" s="5"/>
      <c r="G21" s="4"/>
      <c r="H21" s="5"/>
      <c r="I21" s="413"/>
      <c r="J21" s="335"/>
      <c r="K21" s="4"/>
      <c r="L21" s="5"/>
      <c r="M21" s="4"/>
      <c r="N21" s="5"/>
    </row>
    <row r="22" spans="1:14" ht="15" customHeight="1">
      <c r="A22" s="495"/>
      <c r="B22" s="130" t="s">
        <v>113</v>
      </c>
      <c r="C22" s="109">
        <v>34.5</v>
      </c>
      <c r="D22" s="130">
        <v>60.003</v>
      </c>
      <c r="E22" s="111"/>
      <c r="F22" s="5"/>
      <c r="G22" s="4"/>
      <c r="H22" s="5"/>
      <c r="I22" s="408"/>
      <c r="J22" s="337"/>
      <c r="K22" s="4"/>
      <c r="L22" s="5"/>
      <c r="M22" s="4"/>
      <c r="N22" s="5"/>
    </row>
    <row r="23" spans="1:14" ht="15" customHeight="1">
      <c r="A23" s="493" t="s">
        <v>20</v>
      </c>
      <c r="B23" s="130" t="s">
        <v>100</v>
      </c>
      <c r="C23" s="109">
        <v>0</v>
      </c>
      <c r="D23" s="130"/>
      <c r="E23" s="111"/>
      <c r="F23" s="5"/>
      <c r="G23" s="4"/>
      <c r="H23" s="5"/>
      <c r="I23" s="412"/>
      <c r="J23" s="336"/>
      <c r="K23" s="4"/>
      <c r="L23" s="5"/>
      <c r="M23" s="4"/>
      <c r="N23" s="5"/>
    </row>
    <row r="24" spans="1:14" ht="15" customHeight="1">
      <c r="A24" s="494"/>
      <c r="B24" s="131" t="s">
        <v>101</v>
      </c>
      <c r="C24" s="109">
        <v>0</v>
      </c>
      <c r="D24" s="130"/>
      <c r="E24" s="111"/>
      <c r="F24" s="5"/>
      <c r="G24" s="4"/>
      <c r="H24" s="5"/>
      <c r="I24" s="413"/>
      <c r="J24" s="335"/>
      <c r="K24" s="4"/>
      <c r="L24" s="5"/>
      <c r="M24" s="4"/>
      <c r="N24" s="5"/>
    </row>
    <row r="25" spans="1:14" ht="15" customHeight="1">
      <c r="A25" s="495"/>
      <c r="B25" s="130" t="s">
        <v>113</v>
      </c>
      <c r="C25" s="109">
        <v>34.5</v>
      </c>
      <c r="D25" s="130">
        <v>60.003</v>
      </c>
      <c r="E25" s="111"/>
      <c r="F25" s="5"/>
      <c r="G25" s="4"/>
      <c r="H25" s="5"/>
      <c r="I25" s="408"/>
      <c r="J25" s="337"/>
      <c r="K25" s="4"/>
      <c r="L25" s="5"/>
      <c r="M25" s="4"/>
      <c r="N25" s="5"/>
    </row>
    <row r="26" spans="1:14" ht="15" customHeight="1">
      <c r="A26" s="493" t="s">
        <v>21</v>
      </c>
      <c r="B26" s="130" t="s">
        <v>100</v>
      </c>
      <c r="C26" s="109">
        <v>0</v>
      </c>
      <c r="D26" s="130"/>
      <c r="E26" s="111"/>
      <c r="F26" s="5"/>
      <c r="G26" s="4"/>
      <c r="H26" s="5"/>
      <c r="I26" s="412"/>
      <c r="J26" s="336"/>
      <c r="K26" s="4"/>
      <c r="L26" s="5"/>
      <c r="M26" s="4"/>
      <c r="N26" s="5"/>
    </row>
    <row r="27" spans="1:14" ht="15" customHeight="1">
      <c r="A27" s="494"/>
      <c r="B27" s="131" t="s">
        <v>101</v>
      </c>
      <c r="C27" s="109">
        <v>0</v>
      </c>
      <c r="D27" s="130"/>
      <c r="E27" s="111"/>
      <c r="F27" s="5"/>
      <c r="G27" s="4"/>
      <c r="H27" s="5"/>
      <c r="I27" s="413"/>
      <c r="J27" s="335"/>
      <c r="K27" s="4"/>
      <c r="L27" s="5"/>
      <c r="M27" s="4"/>
      <c r="N27" s="5"/>
    </row>
    <row r="28" spans="1:14" ht="15" customHeight="1">
      <c r="A28" s="495"/>
      <c r="B28" s="130" t="s">
        <v>113</v>
      </c>
      <c r="C28" s="109">
        <v>34.5</v>
      </c>
      <c r="D28" s="130">
        <v>60.003</v>
      </c>
      <c r="E28" s="111"/>
      <c r="F28" s="5"/>
      <c r="G28" s="4"/>
      <c r="H28" s="5"/>
      <c r="I28" s="408"/>
      <c r="J28" s="337"/>
      <c r="K28" s="4"/>
      <c r="L28" s="5"/>
      <c r="M28" s="4"/>
      <c r="N28" s="5"/>
    </row>
    <row r="29" spans="1:14" ht="15" customHeight="1">
      <c r="A29" s="493" t="s">
        <v>69</v>
      </c>
      <c r="B29" s="130" t="s">
        <v>100</v>
      </c>
      <c r="C29" s="109">
        <v>0</v>
      </c>
      <c r="D29" s="130"/>
      <c r="E29" s="111"/>
      <c r="F29" s="5"/>
      <c r="G29" s="4"/>
      <c r="H29" s="5"/>
      <c r="I29" s="412"/>
      <c r="J29" s="336"/>
      <c r="K29" s="4"/>
      <c r="L29" s="5"/>
      <c r="M29" s="4"/>
      <c r="N29" s="5"/>
    </row>
    <row r="30" spans="1:14" ht="15" customHeight="1">
      <c r="A30" s="494"/>
      <c r="B30" s="131" t="s">
        <v>101</v>
      </c>
      <c r="C30" s="109">
        <v>0</v>
      </c>
      <c r="D30" s="130"/>
      <c r="E30" s="111"/>
      <c r="F30" s="5"/>
      <c r="G30" s="4"/>
      <c r="H30" s="5"/>
      <c r="I30" s="413"/>
      <c r="J30" s="335"/>
      <c r="K30" s="4"/>
      <c r="L30" s="5"/>
      <c r="M30" s="4"/>
      <c r="N30" s="5"/>
    </row>
    <row r="31" spans="1:14" ht="15" customHeight="1">
      <c r="A31" s="495"/>
      <c r="B31" s="130" t="s">
        <v>113</v>
      </c>
      <c r="C31" s="109">
        <v>34.5</v>
      </c>
      <c r="D31" s="130">
        <v>60.003</v>
      </c>
      <c r="E31" s="111"/>
      <c r="F31" s="5"/>
      <c r="G31" s="4"/>
      <c r="H31" s="5"/>
      <c r="I31" s="408"/>
      <c r="J31" s="337"/>
      <c r="K31" s="4"/>
      <c r="L31" s="5"/>
      <c r="M31" s="4"/>
      <c r="N31" s="5"/>
    </row>
    <row r="32" spans="1:14" ht="15" customHeight="1">
      <c r="A32" s="493" t="s">
        <v>22</v>
      </c>
      <c r="B32" s="130" t="s">
        <v>100</v>
      </c>
      <c r="C32" s="218">
        <v>0</v>
      </c>
      <c r="D32" s="130"/>
      <c r="E32" s="111"/>
      <c r="F32" s="5"/>
      <c r="G32" s="4"/>
      <c r="H32" s="5"/>
      <c r="I32" s="412"/>
      <c r="J32" s="336"/>
      <c r="K32" s="4"/>
      <c r="L32" s="5"/>
      <c r="M32" s="4"/>
      <c r="N32" s="5"/>
    </row>
    <row r="33" spans="1:14" ht="15" customHeight="1">
      <c r="A33" s="494"/>
      <c r="B33" s="131" t="s">
        <v>101</v>
      </c>
      <c r="C33" s="109">
        <v>0</v>
      </c>
      <c r="D33" s="130"/>
      <c r="E33" s="111"/>
      <c r="F33" s="5"/>
      <c r="G33" s="4"/>
      <c r="H33" s="5"/>
      <c r="I33" s="413"/>
      <c r="J33" s="335"/>
      <c r="K33" s="4"/>
      <c r="L33" s="5"/>
      <c r="M33" s="4"/>
      <c r="N33" s="5"/>
    </row>
    <row r="34" spans="1:14" ht="15" customHeight="1" thickBot="1">
      <c r="A34" s="495"/>
      <c r="B34" s="130" t="s">
        <v>113</v>
      </c>
      <c r="C34" s="109">
        <v>34.5</v>
      </c>
      <c r="D34" s="130">
        <v>60.003</v>
      </c>
      <c r="E34" s="111"/>
      <c r="F34" s="5"/>
      <c r="G34" s="4"/>
      <c r="H34" s="5"/>
      <c r="I34" s="408"/>
      <c r="J34" s="337"/>
      <c r="K34" s="4"/>
      <c r="L34" s="5"/>
      <c r="M34" s="4"/>
      <c r="N34" s="5"/>
    </row>
    <row r="35" spans="1:14" ht="15" customHeight="1">
      <c r="A35" s="340" t="s">
        <v>23</v>
      </c>
      <c r="B35" s="130" t="s">
        <v>100</v>
      </c>
      <c r="C35" s="130">
        <v>0</v>
      </c>
      <c r="D35" s="172">
        <f>10.681*1.075*1.2</f>
        <v>13.778489999999998</v>
      </c>
      <c r="E35" s="111"/>
      <c r="F35" s="5"/>
      <c r="G35" s="4"/>
      <c r="H35" s="5"/>
      <c r="I35" s="412"/>
      <c r="J35" s="336"/>
      <c r="K35" s="4"/>
      <c r="L35" s="5"/>
      <c r="M35" s="4"/>
      <c r="N35" s="5"/>
    </row>
    <row r="36" spans="1:14" ht="15" customHeight="1">
      <c r="A36" s="478"/>
      <c r="B36" s="131" t="s">
        <v>101</v>
      </c>
      <c r="C36" s="130">
        <v>0</v>
      </c>
      <c r="D36" s="8">
        <f>5.597*1.075*1.2</f>
        <v>7.220129999999999</v>
      </c>
      <c r="E36" s="111"/>
      <c r="F36" s="5"/>
      <c r="G36" s="4"/>
      <c r="H36" s="5"/>
      <c r="I36" s="413"/>
      <c r="J36" s="335"/>
      <c r="K36" s="4"/>
      <c r="L36" s="5"/>
      <c r="M36" s="4"/>
      <c r="N36" s="5"/>
    </row>
    <row r="37" spans="1:14" ht="15" customHeight="1" thickBot="1">
      <c r="A37" s="344"/>
      <c r="B37" s="130" t="s">
        <v>113</v>
      </c>
      <c r="C37" s="130">
        <v>34.5</v>
      </c>
      <c r="D37" s="174">
        <v>60.0031</v>
      </c>
      <c r="E37" s="111"/>
      <c r="F37" s="5"/>
      <c r="G37" s="4"/>
      <c r="H37" s="5"/>
      <c r="I37" s="408"/>
      <c r="J37" s="337"/>
      <c r="K37" s="4"/>
      <c r="L37" s="5"/>
      <c r="M37" s="4"/>
      <c r="N37" s="5"/>
    </row>
    <row r="38" spans="1:14" ht="15" customHeight="1">
      <c r="A38" s="340" t="s">
        <v>24</v>
      </c>
      <c r="B38" s="130" t="s">
        <v>100</v>
      </c>
      <c r="C38" s="142">
        <v>0</v>
      </c>
      <c r="D38" s="172">
        <f>10.681*1.075*1.2</f>
        <v>13.778489999999998</v>
      </c>
      <c r="E38" s="111"/>
      <c r="F38" s="5"/>
      <c r="G38" s="4"/>
      <c r="H38" s="5"/>
      <c r="I38" s="501">
        <v>1000</v>
      </c>
      <c r="J38" s="440">
        <v>158.41</v>
      </c>
      <c r="K38" s="4"/>
      <c r="L38" s="5"/>
      <c r="M38" s="4"/>
      <c r="N38" s="5"/>
    </row>
    <row r="39" spans="1:14" ht="15" customHeight="1">
      <c r="A39" s="478"/>
      <c r="B39" s="131" t="s">
        <v>101</v>
      </c>
      <c r="C39" s="142">
        <v>0</v>
      </c>
      <c r="D39" s="8">
        <f>5.597*1.075*1.2</f>
        <v>7.220129999999999</v>
      </c>
      <c r="E39" s="111"/>
      <c r="F39" s="5"/>
      <c r="G39" s="4"/>
      <c r="H39" s="5"/>
      <c r="I39" s="502"/>
      <c r="J39" s="441"/>
      <c r="K39" s="4"/>
      <c r="L39" s="5"/>
      <c r="M39" s="4"/>
      <c r="N39" s="5"/>
    </row>
    <row r="40" spans="1:14" ht="15" customHeight="1" thickBot="1">
      <c r="A40" s="344"/>
      <c r="B40" s="130" t="s">
        <v>113</v>
      </c>
      <c r="C40" s="130">
        <v>34.5</v>
      </c>
      <c r="D40" s="174">
        <v>60.0031</v>
      </c>
      <c r="E40" s="111"/>
      <c r="F40" s="5"/>
      <c r="G40" s="4"/>
      <c r="H40" s="5"/>
      <c r="I40" s="503"/>
      <c r="J40" s="442"/>
      <c r="K40" s="4"/>
      <c r="L40" s="5"/>
      <c r="M40" s="4"/>
      <c r="N40" s="5"/>
    </row>
    <row r="41" spans="1:14" ht="15" customHeight="1">
      <c r="A41" s="340" t="s">
        <v>25</v>
      </c>
      <c r="B41" s="130" t="s">
        <v>100</v>
      </c>
      <c r="C41" s="130"/>
      <c r="D41" s="130"/>
      <c r="E41" s="111"/>
      <c r="F41" s="5"/>
      <c r="G41" s="4"/>
      <c r="H41" s="5"/>
      <c r="I41" s="412"/>
      <c r="J41" s="336"/>
      <c r="K41" s="4"/>
      <c r="L41" s="5"/>
      <c r="M41" s="4"/>
      <c r="N41" s="5"/>
    </row>
    <row r="42" spans="1:14" ht="15" customHeight="1">
      <c r="A42" s="478"/>
      <c r="B42" s="131" t="s">
        <v>101</v>
      </c>
      <c r="C42" s="130"/>
      <c r="D42" s="130"/>
      <c r="E42" s="111"/>
      <c r="F42" s="5"/>
      <c r="G42" s="4"/>
      <c r="H42" s="5"/>
      <c r="I42" s="413"/>
      <c r="J42" s="335"/>
      <c r="K42" s="4"/>
      <c r="L42" s="5"/>
      <c r="M42" s="4"/>
      <c r="N42" s="5"/>
    </row>
    <row r="43" spans="1:14" ht="15" customHeight="1">
      <c r="A43" s="344"/>
      <c r="B43" s="130" t="s">
        <v>113</v>
      </c>
      <c r="C43" s="130"/>
      <c r="D43" s="130"/>
      <c r="E43" s="111"/>
      <c r="F43" s="5"/>
      <c r="G43" s="4"/>
      <c r="H43" s="5"/>
      <c r="I43" s="408"/>
      <c r="J43" s="337"/>
      <c r="K43" s="4"/>
      <c r="L43" s="5"/>
      <c r="M43" s="4"/>
      <c r="N43" s="5"/>
    </row>
    <row r="44" spans="1:14" ht="15" customHeight="1">
      <c r="A44" s="340" t="s">
        <v>26</v>
      </c>
      <c r="B44" s="130" t="s">
        <v>100</v>
      </c>
      <c r="C44" s="142"/>
      <c r="D44" s="130"/>
      <c r="E44" s="76"/>
      <c r="F44" s="15"/>
      <c r="G44" s="14"/>
      <c r="H44" s="15"/>
      <c r="I44" s="412"/>
      <c r="J44" s="336"/>
      <c r="K44" s="14"/>
      <c r="L44" s="15"/>
      <c r="M44" s="14"/>
      <c r="N44" s="15"/>
    </row>
    <row r="45" spans="1:14" ht="15" customHeight="1">
      <c r="A45" s="478"/>
      <c r="B45" s="131" t="s">
        <v>101</v>
      </c>
      <c r="C45" s="142"/>
      <c r="D45" s="130"/>
      <c r="E45" s="76"/>
      <c r="F45" s="15"/>
      <c r="G45" s="14"/>
      <c r="H45" s="15"/>
      <c r="I45" s="413"/>
      <c r="J45" s="335"/>
      <c r="K45" s="14"/>
      <c r="L45" s="15"/>
      <c r="M45" s="14"/>
      <c r="N45" s="15"/>
    </row>
    <row r="46" spans="1:14" ht="15" customHeight="1" thickBot="1">
      <c r="A46" s="341"/>
      <c r="B46" s="130" t="s">
        <v>113</v>
      </c>
      <c r="C46" s="130"/>
      <c r="D46" s="130"/>
      <c r="E46" s="75"/>
      <c r="F46" s="3"/>
      <c r="G46" s="2"/>
      <c r="H46" s="3"/>
      <c r="I46" s="312"/>
      <c r="J46" s="34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6">
      <selection activeCell="E41" sqref="E41:E43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3" t="s">
        <v>5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73"/>
      <c r="O6" s="42"/>
    </row>
    <row r="7" spans="1:15" ht="9.75" customHeight="1" thickBot="1">
      <c r="A7" s="274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6"/>
      <c r="O7" s="42"/>
    </row>
    <row r="8" spans="1:15" ht="15" customHeight="1" thickBot="1" thickTop="1">
      <c r="A8" s="277" t="s">
        <v>6</v>
      </c>
      <c r="B8" s="280" t="s">
        <v>7</v>
      </c>
      <c r="C8" s="281"/>
      <c r="D8" s="282"/>
      <c r="E8" s="280" t="s">
        <v>11</v>
      </c>
      <c r="F8" s="282"/>
      <c r="G8" s="307" t="s">
        <v>15</v>
      </c>
      <c r="H8" s="283"/>
      <c r="I8" s="283"/>
      <c r="J8" s="283"/>
      <c r="K8" s="283"/>
      <c r="L8" s="283"/>
      <c r="M8" s="283"/>
      <c r="N8" s="299"/>
      <c r="O8" s="42"/>
    </row>
    <row r="9" spans="1:15" ht="15" customHeight="1" thickTop="1">
      <c r="A9" s="278"/>
      <c r="B9" s="265" t="s">
        <v>8</v>
      </c>
      <c r="C9" s="266"/>
      <c r="D9" s="291" t="s">
        <v>9</v>
      </c>
      <c r="E9" s="263" t="s">
        <v>66</v>
      </c>
      <c r="F9" s="291" t="s">
        <v>9</v>
      </c>
      <c r="G9" s="289" t="s">
        <v>27</v>
      </c>
      <c r="H9" s="290"/>
      <c r="I9" s="289" t="s">
        <v>28</v>
      </c>
      <c r="J9" s="290"/>
      <c r="K9" s="289" t="s">
        <v>13</v>
      </c>
      <c r="L9" s="290"/>
      <c r="M9" s="289" t="s">
        <v>14</v>
      </c>
      <c r="N9" s="290"/>
      <c r="O9" s="42"/>
    </row>
    <row r="10" spans="1:15" ht="15" customHeight="1" thickBot="1">
      <c r="A10" s="279"/>
      <c r="B10" s="304"/>
      <c r="C10" s="284"/>
      <c r="D10" s="300"/>
      <c r="E10" s="264"/>
      <c r="F10" s="288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65" t="s">
        <v>16</v>
      </c>
      <c r="B11" s="145" t="s">
        <v>94</v>
      </c>
      <c r="C11" s="212">
        <v>1760</v>
      </c>
      <c r="D11" s="228">
        <f>8.716*1.075*1.2</f>
        <v>11.243639999999997</v>
      </c>
      <c r="E11" s="266">
        <f>45+2</f>
        <v>47</v>
      </c>
      <c r="F11" s="291">
        <v>22.54</v>
      </c>
      <c r="G11" s="292">
        <v>32282</v>
      </c>
      <c r="H11" s="291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04"/>
      <c r="B12" s="146" t="s">
        <v>95</v>
      </c>
      <c r="C12" s="107">
        <v>140</v>
      </c>
      <c r="D12" s="229">
        <f>4.887*1.075*1.2</f>
        <v>6.304229999999999</v>
      </c>
      <c r="E12" s="284"/>
      <c r="F12" s="300"/>
      <c r="G12" s="302"/>
      <c r="H12" s="300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05"/>
      <c r="B13" s="230" t="s">
        <v>107</v>
      </c>
      <c r="C13" s="121">
        <v>33</v>
      </c>
      <c r="D13" s="231">
        <f>148.844*1.075*1.2</f>
        <v>192.00875999999997</v>
      </c>
      <c r="E13" s="285"/>
      <c r="F13" s="306"/>
      <c r="G13" s="255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3" t="s">
        <v>17</v>
      </c>
      <c r="B14" s="97" t="s">
        <v>94</v>
      </c>
      <c r="C14" s="205">
        <v>1580</v>
      </c>
      <c r="D14" s="228">
        <f>8.716*1.075*1.2</f>
        <v>11.243639999999997</v>
      </c>
      <c r="E14" s="307">
        <f>70+1</f>
        <v>71</v>
      </c>
      <c r="F14" s="299">
        <v>22.54</v>
      </c>
      <c r="G14" s="301">
        <v>27557</v>
      </c>
      <c r="H14" s="299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04"/>
      <c r="B15" s="97" t="s">
        <v>95</v>
      </c>
      <c r="C15" s="92">
        <v>160</v>
      </c>
      <c r="D15" s="229">
        <f>4.887*1.075*1.2</f>
        <v>6.304229999999999</v>
      </c>
      <c r="E15" s="284"/>
      <c r="F15" s="300"/>
      <c r="G15" s="302"/>
      <c r="H15" s="300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05"/>
      <c r="B16" s="95" t="s">
        <v>107</v>
      </c>
      <c r="C16" s="92">
        <v>33</v>
      </c>
      <c r="D16" s="231">
        <f>148.844*1.075*1.2</f>
        <v>192.00875999999997</v>
      </c>
      <c r="E16" s="284"/>
      <c r="F16" s="300"/>
      <c r="G16" s="256">
        <v>934</v>
      </c>
      <c r="H16" s="238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03" t="s">
        <v>18</v>
      </c>
      <c r="B17" s="99" t="s">
        <v>94</v>
      </c>
      <c r="C17" s="206">
        <v>1920</v>
      </c>
      <c r="D17" s="228">
        <f>8.716*1.075*1.2</f>
        <v>11.243639999999997</v>
      </c>
      <c r="E17" s="307">
        <f>29+2</f>
        <v>31</v>
      </c>
      <c r="F17" s="299">
        <v>22.54</v>
      </c>
      <c r="G17" s="301">
        <v>23000</v>
      </c>
      <c r="H17" s="299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04"/>
      <c r="B18" s="97" t="s">
        <v>95</v>
      </c>
      <c r="C18" s="92">
        <v>180</v>
      </c>
      <c r="D18" s="229">
        <f>4.887*1.075*1.2</f>
        <v>6.304229999999999</v>
      </c>
      <c r="E18" s="284"/>
      <c r="F18" s="300"/>
      <c r="G18" s="302"/>
      <c r="H18" s="300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05"/>
      <c r="B19" s="95" t="s">
        <v>107</v>
      </c>
      <c r="C19" s="91">
        <v>33</v>
      </c>
      <c r="D19" s="231">
        <f>148.844*1.075*1.2</f>
        <v>192.00875999999997</v>
      </c>
      <c r="E19" s="285"/>
      <c r="F19" s="306"/>
      <c r="G19" s="256">
        <v>934</v>
      </c>
      <c r="H19" s="238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03" t="s">
        <v>19</v>
      </c>
      <c r="B20" s="99" t="s">
        <v>94</v>
      </c>
      <c r="C20" s="206">
        <v>1440</v>
      </c>
      <c r="D20" s="228">
        <f>8.716*1.075*1.2</f>
        <v>11.243639999999997</v>
      </c>
      <c r="E20" s="307">
        <f>38+1</f>
        <v>39</v>
      </c>
      <c r="F20" s="299">
        <v>22.54</v>
      </c>
      <c r="G20" s="301">
        <v>6756</v>
      </c>
      <c r="H20" s="299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04"/>
      <c r="B21" s="97" t="s">
        <v>95</v>
      </c>
      <c r="C21" s="92">
        <v>120</v>
      </c>
      <c r="D21" s="229">
        <f>4.887*1.075*1.2</f>
        <v>6.304229999999999</v>
      </c>
      <c r="E21" s="284"/>
      <c r="F21" s="300"/>
      <c r="G21" s="302"/>
      <c r="H21" s="300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05"/>
      <c r="B22" s="95" t="s">
        <v>107</v>
      </c>
      <c r="C22" s="91">
        <v>33</v>
      </c>
      <c r="D22" s="231">
        <f>148.844*1.075*1.2</f>
        <v>192.00875999999997</v>
      </c>
      <c r="E22" s="285"/>
      <c r="F22" s="306"/>
      <c r="G22" s="256">
        <v>934</v>
      </c>
      <c r="H22" s="238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03" t="s">
        <v>20</v>
      </c>
      <c r="B23" s="99" t="s">
        <v>94</v>
      </c>
      <c r="C23" s="93">
        <v>0</v>
      </c>
      <c r="D23" s="228">
        <f>8.716*1.075*1.2</f>
        <v>11.243639999999997</v>
      </c>
      <c r="E23" s="307">
        <f>55+2</f>
        <v>57</v>
      </c>
      <c r="F23" s="299">
        <v>22.54</v>
      </c>
      <c r="G23" s="301">
        <v>0</v>
      </c>
      <c r="H23" s="299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04"/>
      <c r="B24" s="97" t="s">
        <v>95</v>
      </c>
      <c r="C24" s="92">
        <v>0</v>
      </c>
      <c r="D24" s="229">
        <f>4.887*1.075*1.2</f>
        <v>6.304229999999999</v>
      </c>
      <c r="E24" s="284"/>
      <c r="F24" s="300"/>
      <c r="G24" s="302"/>
      <c r="H24" s="300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05"/>
      <c r="B25" s="95" t="s">
        <v>107</v>
      </c>
      <c r="C25" s="91">
        <v>33</v>
      </c>
      <c r="D25" s="231">
        <f>148.844*1.075*1.2</f>
        <v>192.00875999999997</v>
      </c>
      <c r="E25" s="285"/>
      <c r="F25" s="306"/>
      <c r="G25" s="256">
        <v>934</v>
      </c>
      <c r="H25" s="238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03" t="s">
        <v>68</v>
      </c>
      <c r="B26" s="99" t="s">
        <v>94</v>
      </c>
      <c r="C26" s="93">
        <v>2840</v>
      </c>
      <c r="D26" s="228">
        <f>8.716*1.075*1.2</f>
        <v>11.243639999999997</v>
      </c>
      <c r="E26" s="307">
        <f>45+4</f>
        <v>49</v>
      </c>
      <c r="F26" s="299">
        <v>22.54</v>
      </c>
      <c r="G26" s="295">
        <v>0</v>
      </c>
      <c r="H26" s="297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04"/>
      <c r="B27" s="95" t="s">
        <v>95</v>
      </c>
      <c r="C27" s="92">
        <v>300</v>
      </c>
      <c r="D27" s="229">
        <f>4.887*1.075*1.2</f>
        <v>6.304229999999999</v>
      </c>
      <c r="E27" s="284"/>
      <c r="F27" s="300"/>
      <c r="G27" s="296"/>
      <c r="H27" s="298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05"/>
      <c r="B28" s="95" t="s">
        <v>107</v>
      </c>
      <c r="C28" s="91">
        <v>33</v>
      </c>
      <c r="D28" s="231">
        <f>148.844*1.075*1.2</f>
        <v>192.00875999999997</v>
      </c>
      <c r="E28" s="285"/>
      <c r="F28" s="306"/>
      <c r="G28" s="237">
        <v>934</v>
      </c>
      <c r="H28" s="238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03" t="s">
        <v>69</v>
      </c>
      <c r="B29" s="99" t="s">
        <v>94</v>
      </c>
      <c r="C29" s="100">
        <v>1200</v>
      </c>
      <c r="D29" s="228">
        <f>8.716*1.075*1.2</f>
        <v>11.243639999999997</v>
      </c>
      <c r="E29" s="307">
        <f>70+1</f>
        <v>71</v>
      </c>
      <c r="F29" s="299">
        <v>22.54</v>
      </c>
      <c r="G29" s="295">
        <v>0</v>
      </c>
      <c r="H29" s="297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04"/>
      <c r="B30" s="97" t="s">
        <v>95</v>
      </c>
      <c r="C30" s="98">
        <v>80</v>
      </c>
      <c r="D30" s="229">
        <f>4.887*1.075*1.2</f>
        <v>6.304229999999999</v>
      </c>
      <c r="E30" s="284"/>
      <c r="F30" s="300"/>
      <c r="G30" s="296"/>
      <c r="H30" s="298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05"/>
      <c r="B31" s="95" t="s">
        <v>107</v>
      </c>
      <c r="C31" s="96">
        <v>33</v>
      </c>
      <c r="D31" s="231">
        <f>148.844*1.075*1.2</f>
        <v>192.00875999999997</v>
      </c>
      <c r="E31" s="285"/>
      <c r="F31" s="306"/>
      <c r="G31" s="237">
        <v>934</v>
      </c>
      <c r="H31" s="238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03" t="s">
        <v>22</v>
      </c>
      <c r="B32" s="99" t="s">
        <v>94</v>
      </c>
      <c r="C32" s="100">
        <v>1080</v>
      </c>
      <c r="D32" s="228">
        <f>8.716*1.075*1.2</f>
        <v>11.243639999999997</v>
      </c>
      <c r="E32" s="307">
        <f>46</f>
        <v>46</v>
      </c>
      <c r="F32" s="299">
        <v>22.54</v>
      </c>
      <c r="G32" s="295">
        <v>0</v>
      </c>
      <c r="H32" s="297">
        <v>5.81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04"/>
      <c r="B33" s="97" t="s">
        <v>95</v>
      </c>
      <c r="C33" s="98">
        <v>80</v>
      </c>
      <c r="D33" s="229">
        <f>4.887*1.075*1.2</f>
        <v>6.304229999999999</v>
      </c>
      <c r="E33" s="284"/>
      <c r="F33" s="300"/>
      <c r="G33" s="296"/>
      <c r="H33" s="298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05"/>
      <c r="B34" s="95" t="s">
        <v>107</v>
      </c>
      <c r="C34" s="96">
        <v>33</v>
      </c>
      <c r="D34" s="231">
        <f>148.844*1.075*1.2</f>
        <v>192.00875999999997</v>
      </c>
      <c r="E34" s="285"/>
      <c r="F34" s="306"/>
      <c r="G34" s="237">
        <v>934</v>
      </c>
      <c r="H34" s="238">
        <v>47.23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03" t="s">
        <v>23</v>
      </c>
      <c r="B35" s="99" t="s">
        <v>94</v>
      </c>
      <c r="C35" s="93">
        <v>1540</v>
      </c>
      <c r="D35" s="228">
        <f>(7.45+2.233+0.093)*1.075*1.2</f>
        <v>12.61104</v>
      </c>
      <c r="E35" s="307">
        <v>42</v>
      </c>
      <c r="F35" s="299">
        <v>22.54</v>
      </c>
      <c r="G35" s="295">
        <v>0</v>
      </c>
      <c r="H35" s="297">
        <v>5.81</v>
      </c>
      <c r="I35" s="52"/>
      <c r="J35" s="53"/>
      <c r="K35" s="52"/>
      <c r="L35" s="53"/>
      <c r="M35" s="52"/>
      <c r="N35" s="53"/>
      <c r="O35" s="42"/>
    </row>
    <row r="36" spans="1:15" ht="13.5" customHeight="1">
      <c r="A36" s="304"/>
      <c r="B36" s="97" t="s">
        <v>95</v>
      </c>
      <c r="C36" s="92">
        <v>100</v>
      </c>
      <c r="D36" s="229">
        <f>(4.72+0.744+0.093)*1.075*1.2</f>
        <v>7.168529999999999</v>
      </c>
      <c r="E36" s="284"/>
      <c r="F36" s="300"/>
      <c r="G36" s="296"/>
      <c r="H36" s="298"/>
      <c r="I36" s="52"/>
      <c r="J36" s="53"/>
      <c r="K36" s="52"/>
      <c r="L36" s="53"/>
      <c r="M36" s="52"/>
      <c r="N36" s="53"/>
      <c r="O36" s="42"/>
    </row>
    <row r="37" spans="1:15" ht="11.25" customHeight="1" thickBot="1">
      <c r="A37" s="305"/>
      <c r="B37" s="95" t="s">
        <v>107</v>
      </c>
      <c r="C37" s="91">
        <v>33</v>
      </c>
      <c r="D37" s="231">
        <f>148.844*1.075*1.2</f>
        <v>192.00875999999997</v>
      </c>
      <c r="E37" s="285"/>
      <c r="F37" s="306"/>
      <c r="G37" s="237">
        <v>934</v>
      </c>
      <c r="H37" s="238">
        <v>47.23</v>
      </c>
      <c r="I37" s="52"/>
      <c r="J37" s="53"/>
      <c r="K37" s="52"/>
      <c r="L37" s="53"/>
      <c r="M37" s="52"/>
      <c r="N37" s="53"/>
      <c r="O37" s="42"/>
    </row>
    <row r="38" spans="1:15" ht="14.25" customHeight="1">
      <c r="A38" s="303" t="s">
        <v>24</v>
      </c>
      <c r="B38" s="99" t="s">
        <v>94</v>
      </c>
      <c r="C38" s="93">
        <v>2120</v>
      </c>
      <c r="D38" s="228">
        <f>(7.45+2.233+0.093)*1.075*1.2</f>
        <v>12.61104</v>
      </c>
      <c r="E38" s="307">
        <f>55+3</f>
        <v>58</v>
      </c>
      <c r="F38" s="299">
        <v>22.54</v>
      </c>
      <c r="G38" s="295">
        <v>5206</v>
      </c>
      <c r="H38" s="297">
        <v>5.81</v>
      </c>
      <c r="I38" s="52"/>
      <c r="J38" s="53"/>
      <c r="K38" s="52"/>
      <c r="L38" s="53"/>
      <c r="M38" s="52"/>
      <c r="N38" s="53"/>
      <c r="O38" s="42"/>
    </row>
    <row r="39" spans="1:15" ht="14.25" customHeight="1">
      <c r="A39" s="304"/>
      <c r="B39" s="97" t="s">
        <v>95</v>
      </c>
      <c r="C39" s="92">
        <v>160</v>
      </c>
      <c r="D39" s="229">
        <f>(4.72+0.744+0.093)*1.075*1.2</f>
        <v>7.168529999999999</v>
      </c>
      <c r="E39" s="284"/>
      <c r="F39" s="300"/>
      <c r="G39" s="296"/>
      <c r="H39" s="298"/>
      <c r="I39" s="52"/>
      <c r="J39" s="53"/>
      <c r="K39" s="52"/>
      <c r="L39" s="53"/>
      <c r="M39" s="52"/>
      <c r="N39" s="53"/>
      <c r="O39" s="42"/>
    </row>
    <row r="40" spans="1:15" ht="12.75" customHeight="1" thickBot="1">
      <c r="A40" s="305"/>
      <c r="B40" s="95" t="s">
        <v>107</v>
      </c>
      <c r="C40" s="91">
        <v>33</v>
      </c>
      <c r="D40" s="231">
        <f>148.844*1.075*1.2</f>
        <v>192.00875999999997</v>
      </c>
      <c r="E40" s="285"/>
      <c r="F40" s="306"/>
      <c r="G40" s="237">
        <v>934</v>
      </c>
      <c r="H40" s="238">
        <v>47.23</v>
      </c>
      <c r="I40" s="52"/>
      <c r="J40" s="53"/>
      <c r="K40" s="52"/>
      <c r="L40" s="53"/>
      <c r="M40" s="52"/>
      <c r="N40" s="53"/>
      <c r="O40" s="42"/>
    </row>
    <row r="41" spans="1:15" ht="15" customHeight="1">
      <c r="A41" s="303" t="s">
        <v>25</v>
      </c>
      <c r="B41" s="99" t="s">
        <v>94</v>
      </c>
      <c r="C41" s="93"/>
      <c r="D41" s="100"/>
      <c r="E41" s="307"/>
      <c r="F41" s="299"/>
      <c r="G41" s="295"/>
      <c r="H41" s="297"/>
      <c r="I41" s="52"/>
      <c r="J41" s="53"/>
      <c r="K41" s="52"/>
      <c r="L41" s="53"/>
      <c r="M41" s="52"/>
      <c r="N41" s="53"/>
      <c r="O41" s="42"/>
    </row>
    <row r="42" spans="1:15" ht="15" customHeight="1">
      <c r="A42" s="304"/>
      <c r="B42" s="97" t="s">
        <v>95</v>
      </c>
      <c r="C42" s="92"/>
      <c r="D42" s="98"/>
      <c r="E42" s="284"/>
      <c r="F42" s="300"/>
      <c r="G42" s="296"/>
      <c r="H42" s="298"/>
      <c r="I42" s="52"/>
      <c r="J42" s="53"/>
      <c r="K42" s="52"/>
      <c r="L42" s="53"/>
      <c r="M42" s="52"/>
      <c r="N42" s="53"/>
      <c r="O42" s="42"/>
    </row>
    <row r="43" spans="1:15" ht="15" customHeight="1">
      <c r="A43" s="305"/>
      <c r="B43" s="95" t="s">
        <v>107</v>
      </c>
      <c r="C43" s="91"/>
      <c r="D43" s="96"/>
      <c r="E43" s="285"/>
      <c r="F43" s="306"/>
      <c r="G43" s="237"/>
      <c r="H43" s="238"/>
      <c r="I43" s="52"/>
      <c r="J43" s="53"/>
      <c r="K43" s="52"/>
      <c r="L43" s="53"/>
      <c r="M43" s="52"/>
      <c r="N43" s="53"/>
      <c r="O43" s="42"/>
    </row>
    <row r="44" spans="1:15" ht="12" customHeight="1">
      <c r="A44" s="303" t="s">
        <v>26</v>
      </c>
      <c r="B44" s="99" t="s">
        <v>94</v>
      </c>
      <c r="C44" s="93"/>
      <c r="D44" s="100"/>
      <c r="E44" s="307"/>
      <c r="F44" s="299"/>
      <c r="G44" s="295"/>
      <c r="H44" s="297"/>
      <c r="I44" s="72"/>
      <c r="J44" s="44"/>
      <c r="K44" s="72"/>
      <c r="L44" s="44"/>
      <c r="M44" s="72"/>
      <c r="N44" s="44"/>
      <c r="O44" s="42"/>
    </row>
    <row r="45" spans="1:15" ht="12" customHeight="1">
      <c r="A45" s="304"/>
      <c r="B45" s="97" t="s">
        <v>95</v>
      </c>
      <c r="C45" s="92"/>
      <c r="D45" s="98"/>
      <c r="E45" s="284"/>
      <c r="F45" s="300"/>
      <c r="G45" s="296"/>
      <c r="H45" s="298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86"/>
      <c r="B46" s="95" t="s">
        <v>107</v>
      </c>
      <c r="C46" s="102"/>
      <c r="D46" s="96"/>
      <c r="E46" s="287"/>
      <c r="F46" s="288"/>
      <c r="G46" s="237"/>
      <c r="H46" s="238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267"/>
      <c r="H50" s="268"/>
      <c r="I50" s="107"/>
    </row>
    <row r="51" spans="6:9" ht="13.5" customHeight="1">
      <c r="F51" s="107"/>
      <c r="G51" s="267"/>
      <c r="H51" s="268"/>
      <c r="I51" s="107"/>
    </row>
    <row r="52" spans="6:9" ht="13.5" customHeight="1">
      <c r="F52" s="107"/>
      <c r="G52" s="241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5">
    <mergeCell ref="H32:H33"/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5:A37"/>
    <mergeCell ref="F35:F37"/>
    <mergeCell ref="A38:A40"/>
    <mergeCell ref="E38:E40"/>
    <mergeCell ref="F38:F40"/>
    <mergeCell ref="G17:G18"/>
    <mergeCell ref="H17:H18"/>
    <mergeCell ref="G20:G21"/>
    <mergeCell ref="H20:H21"/>
    <mergeCell ref="G38:G39"/>
    <mergeCell ref="H38:H39"/>
    <mergeCell ref="H23:H24"/>
    <mergeCell ref="G26:G27"/>
    <mergeCell ref="H26:H27"/>
    <mergeCell ref="G35:G36"/>
    <mergeCell ref="H35:H36"/>
    <mergeCell ref="G29:G30"/>
    <mergeCell ref="H29:H30"/>
    <mergeCell ref="G32:G33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6">
      <selection activeCell="C41" sqref="C41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60" t="s">
        <v>29</v>
      </c>
      <c r="J1" s="360"/>
      <c r="K1" s="360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60" t="s">
        <v>2</v>
      </c>
      <c r="J2" s="360"/>
      <c r="K2" s="360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60" t="s">
        <v>3</v>
      </c>
      <c r="J3" s="360"/>
      <c r="K3" s="360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61" t="s">
        <v>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3"/>
      <c r="O6" s="56"/>
    </row>
    <row r="7" spans="1:15" ht="13.5" thickBot="1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6"/>
      <c r="O7" s="56"/>
    </row>
    <row r="8" spans="1:15" ht="14.25" thickBot="1" thickTop="1">
      <c r="A8" s="367" t="s">
        <v>6</v>
      </c>
      <c r="B8" s="369" t="s">
        <v>7</v>
      </c>
      <c r="C8" s="370"/>
      <c r="D8" s="371"/>
      <c r="E8" s="369" t="s">
        <v>11</v>
      </c>
      <c r="F8" s="371"/>
      <c r="G8" s="372" t="s">
        <v>15</v>
      </c>
      <c r="H8" s="373"/>
      <c r="I8" s="373"/>
      <c r="J8" s="373"/>
      <c r="K8" s="373"/>
      <c r="L8" s="373"/>
      <c r="M8" s="373"/>
      <c r="N8" s="351"/>
      <c r="O8" s="56"/>
    </row>
    <row r="9" spans="1:15" ht="13.5" thickTop="1">
      <c r="A9" s="262"/>
      <c r="B9" s="353" t="s">
        <v>8</v>
      </c>
      <c r="C9" s="355"/>
      <c r="D9" s="357" t="s">
        <v>9</v>
      </c>
      <c r="E9" s="374" t="s">
        <v>67</v>
      </c>
      <c r="F9" s="357" t="s">
        <v>9</v>
      </c>
      <c r="G9" s="358" t="s">
        <v>27</v>
      </c>
      <c r="H9" s="359"/>
      <c r="I9" s="358" t="s">
        <v>28</v>
      </c>
      <c r="J9" s="359"/>
      <c r="K9" s="358" t="s">
        <v>13</v>
      </c>
      <c r="L9" s="359"/>
      <c r="M9" s="358" t="s">
        <v>14</v>
      </c>
      <c r="N9" s="359"/>
      <c r="O9" s="56"/>
    </row>
    <row r="10" spans="1:15" ht="13.5" thickBot="1">
      <c r="A10" s="368"/>
      <c r="B10" s="354"/>
      <c r="C10" s="356"/>
      <c r="D10" s="352"/>
      <c r="E10" s="375"/>
      <c r="F10" s="376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53" t="s">
        <v>16</v>
      </c>
      <c r="B11" s="171" t="s">
        <v>94</v>
      </c>
      <c r="C11" s="227">
        <v>2880</v>
      </c>
      <c r="D11" s="228">
        <f>9.621*1.075*1.2</f>
        <v>12.41109</v>
      </c>
      <c r="E11" s="355">
        <v>151</v>
      </c>
      <c r="F11" s="357">
        <v>22.54</v>
      </c>
      <c r="G11" s="269">
        <v>28030</v>
      </c>
      <c r="H11" s="271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54"/>
      <c r="B12" s="161" t="s">
        <v>95</v>
      </c>
      <c r="C12" s="103">
        <v>780</v>
      </c>
      <c r="D12" s="229">
        <f>4.927*1.075*1.2</f>
        <v>6.355829999999998</v>
      </c>
      <c r="E12" s="356"/>
      <c r="F12" s="352"/>
      <c r="G12" s="270"/>
      <c r="H12" s="272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54"/>
      <c r="B13" s="173" t="s">
        <v>113</v>
      </c>
      <c r="C13" s="182">
        <v>17.25</v>
      </c>
      <c r="D13" s="231">
        <f>46.514*1.075*1.2</f>
        <v>60.00306</v>
      </c>
      <c r="E13" s="356"/>
      <c r="F13" s="352"/>
      <c r="G13" s="254">
        <v>1098.8</v>
      </c>
      <c r="H13" s="243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2" t="s">
        <v>17</v>
      </c>
      <c r="B14" s="65" t="s">
        <v>94</v>
      </c>
      <c r="C14" s="208">
        <v>2880</v>
      </c>
      <c r="D14" s="228">
        <f>9.621*1.075*1.2</f>
        <v>12.41109</v>
      </c>
      <c r="E14" s="307">
        <f>201</f>
        <v>201</v>
      </c>
      <c r="F14" s="351">
        <v>22.54</v>
      </c>
      <c r="G14" s="269">
        <v>27792</v>
      </c>
      <c r="H14" s="27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2"/>
      <c r="B15" s="65" t="s">
        <v>95</v>
      </c>
      <c r="C15" s="103">
        <v>870</v>
      </c>
      <c r="D15" s="229">
        <f>4.927*1.075*1.2</f>
        <v>6.355829999999998</v>
      </c>
      <c r="E15" s="284"/>
      <c r="F15" s="352"/>
      <c r="G15" s="270"/>
      <c r="H15" s="272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2"/>
      <c r="B16" s="65" t="s">
        <v>113</v>
      </c>
      <c r="C16" s="103">
        <v>17.25</v>
      </c>
      <c r="D16" s="231">
        <f>46.514*1.075*1.2</f>
        <v>60.00306</v>
      </c>
      <c r="E16" s="284"/>
      <c r="F16" s="352"/>
      <c r="G16" s="254">
        <v>1098.8</v>
      </c>
      <c r="H16" s="243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2" t="s">
        <v>18</v>
      </c>
      <c r="B17" s="61" t="s">
        <v>94</v>
      </c>
      <c r="C17" s="209">
        <v>3330</v>
      </c>
      <c r="D17" s="228">
        <f>9.621*1.075*1.2</f>
        <v>12.41109</v>
      </c>
      <c r="E17" s="349">
        <f>217</f>
        <v>217</v>
      </c>
      <c r="F17" s="351">
        <v>22.54</v>
      </c>
      <c r="G17" s="269">
        <v>19881</v>
      </c>
      <c r="H17" s="271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2"/>
      <c r="B18" s="65" t="s">
        <v>95</v>
      </c>
      <c r="C18" s="103">
        <v>990</v>
      </c>
      <c r="D18" s="229">
        <f>4.927*1.075*1.2</f>
        <v>6.355829999999998</v>
      </c>
      <c r="E18" s="350"/>
      <c r="F18" s="352"/>
      <c r="G18" s="270"/>
      <c r="H18" s="272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2"/>
      <c r="B19" s="65" t="s">
        <v>113</v>
      </c>
      <c r="C19" s="103">
        <v>17.25</v>
      </c>
      <c r="D19" s="231">
        <f>46.514*1.075*1.2</f>
        <v>60.00306</v>
      </c>
      <c r="E19" s="350"/>
      <c r="F19" s="352"/>
      <c r="G19" s="254">
        <v>1098.8</v>
      </c>
      <c r="H19" s="243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61" t="s">
        <v>19</v>
      </c>
      <c r="B20" s="61" t="s">
        <v>94</v>
      </c>
      <c r="C20" s="209">
        <v>2640</v>
      </c>
      <c r="D20" s="228">
        <f>9.621*1.075*1.2</f>
        <v>12.41109</v>
      </c>
      <c r="E20" s="349">
        <f>236</f>
        <v>236</v>
      </c>
      <c r="F20" s="351">
        <v>22.54</v>
      </c>
      <c r="G20" s="269">
        <v>3478</v>
      </c>
      <c r="H20" s="271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262"/>
      <c r="B21" s="65" t="s">
        <v>95</v>
      </c>
      <c r="C21" s="103">
        <v>810</v>
      </c>
      <c r="D21" s="229">
        <f>4.927*1.075*1.2</f>
        <v>6.355829999999998</v>
      </c>
      <c r="E21" s="350"/>
      <c r="F21" s="352"/>
      <c r="G21" s="270"/>
      <c r="H21" s="272"/>
      <c r="I21" s="65"/>
      <c r="J21" s="66"/>
      <c r="K21" s="65"/>
      <c r="L21" s="66"/>
      <c r="M21" s="65"/>
      <c r="N21" s="66"/>
      <c r="O21" s="56"/>
    </row>
    <row r="22" spans="1:15" ht="13.5" thickBot="1">
      <c r="A22" s="262"/>
      <c r="B22" s="65" t="s">
        <v>113</v>
      </c>
      <c r="C22" s="103">
        <v>17.25</v>
      </c>
      <c r="D22" s="231">
        <f>46.514*1.075*1.2</f>
        <v>60.00306</v>
      </c>
      <c r="E22" s="350"/>
      <c r="F22" s="352"/>
      <c r="G22" s="254">
        <v>1098.8</v>
      </c>
      <c r="H22" s="243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261" t="s">
        <v>20</v>
      </c>
      <c r="B23" s="61" t="s">
        <v>94</v>
      </c>
      <c r="C23" s="209">
        <v>2220</v>
      </c>
      <c r="D23" s="228">
        <f>9.621*1.075*1.2</f>
        <v>12.41109</v>
      </c>
      <c r="E23" s="349">
        <v>257</v>
      </c>
      <c r="F23" s="351">
        <v>22.54</v>
      </c>
      <c r="G23" s="269">
        <v>0</v>
      </c>
      <c r="H23" s="271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95</v>
      </c>
      <c r="C24" s="103">
        <v>690</v>
      </c>
      <c r="D24" s="229">
        <f>4.927*1.075*1.2</f>
        <v>6.355829999999998</v>
      </c>
      <c r="E24" s="350"/>
      <c r="F24" s="352"/>
      <c r="G24" s="270"/>
      <c r="H24" s="272"/>
      <c r="I24" s="65"/>
      <c r="J24" s="66"/>
      <c r="K24" s="65"/>
      <c r="L24" s="66"/>
      <c r="M24" s="65"/>
      <c r="N24" s="66"/>
      <c r="O24" s="56"/>
    </row>
    <row r="25" spans="1:15" ht="13.5" thickBot="1">
      <c r="A25" s="262"/>
      <c r="B25" s="65" t="s">
        <v>113</v>
      </c>
      <c r="C25" s="103">
        <v>17.25</v>
      </c>
      <c r="D25" s="231">
        <f>46.514*1.075*1.2</f>
        <v>60.00306</v>
      </c>
      <c r="E25" s="350"/>
      <c r="F25" s="352"/>
      <c r="G25" s="254">
        <v>1098.8</v>
      </c>
      <c r="H25" s="243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261" t="s">
        <v>68</v>
      </c>
      <c r="B26" s="61" t="s">
        <v>94</v>
      </c>
      <c r="C26" s="104">
        <v>1920</v>
      </c>
      <c r="D26" s="228">
        <f>9.621*1.075*1.2</f>
        <v>12.41109</v>
      </c>
      <c r="E26" s="349">
        <v>247</v>
      </c>
      <c r="F26" s="351">
        <v>22.54</v>
      </c>
      <c r="G26" s="295">
        <v>0</v>
      </c>
      <c r="H26" s="297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95</v>
      </c>
      <c r="C27" s="103">
        <v>570</v>
      </c>
      <c r="D27" s="229">
        <f>4.927*1.075*1.2</f>
        <v>6.355829999999998</v>
      </c>
      <c r="E27" s="350"/>
      <c r="F27" s="352"/>
      <c r="G27" s="296"/>
      <c r="H27" s="298"/>
      <c r="I27" s="65"/>
      <c r="J27" s="66"/>
      <c r="K27" s="65"/>
      <c r="L27" s="66"/>
      <c r="M27" s="65"/>
      <c r="N27" s="66"/>
      <c r="O27" s="56"/>
    </row>
    <row r="28" spans="1:15" ht="13.5" thickBot="1">
      <c r="A28" s="262"/>
      <c r="B28" s="65" t="s">
        <v>113</v>
      </c>
      <c r="C28" s="103">
        <v>17.25</v>
      </c>
      <c r="D28" s="231">
        <f>46.514*1.075*1.2</f>
        <v>60.00306</v>
      </c>
      <c r="E28" s="350"/>
      <c r="F28" s="352"/>
      <c r="G28" s="237">
        <v>1098.8</v>
      </c>
      <c r="H28" s="238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261" t="s">
        <v>69</v>
      </c>
      <c r="B29" s="61" t="s">
        <v>94</v>
      </c>
      <c r="C29" s="104">
        <v>900</v>
      </c>
      <c r="D29" s="228">
        <f>9.621*1.075*1.2</f>
        <v>12.41109</v>
      </c>
      <c r="E29" s="349">
        <f>246</f>
        <v>246</v>
      </c>
      <c r="F29" s="351">
        <v>22.54</v>
      </c>
      <c r="G29" s="295">
        <v>0</v>
      </c>
      <c r="H29" s="297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95</v>
      </c>
      <c r="C30" s="103">
        <v>150</v>
      </c>
      <c r="D30" s="229">
        <f>4.927*1.075*1.2</f>
        <v>6.355829999999998</v>
      </c>
      <c r="E30" s="350"/>
      <c r="F30" s="352"/>
      <c r="G30" s="296"/>
      <c r="H30" s="298"/>
      <c r="I30" s="65"/>
      <c r="J30" s="66"/>
      <c r="K30" s="65"/>
      <c r="L30" s="66"/>
      <c r="M30" s="65"/>
      <c r="N30" s="66"/>
      <c r="O30" s="56"/>
    </row>
    <row r="31" spans="1:15" ht="13.5" thickBot="1">
      <c r="A31" s="262"/>
      <c r="B31" s="65" t="s">
        <v>113</v>
      </c>
      <c r="C31" s="103">
        <v>17.25</v>
      </c>
      <c r="D31" s="231">
        <f>46.514*1.075*1.2</f>
        <v>60.00306</v>
      </c>
      <c r="E31" s="350"/>
      <c r="F31" s="352"/>
      <c r="G31" s="237">
        <v>1098.8</v>
      </c>
      <c r="H31" s="238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261" t="s">
        <v>22</v>
      </c>
      <c r="B32" s="61" t="s">
        <v>94</v>
      </c>
      <c r="C32" s="104">
        <v>1140</v>
      </c>
      <c r="D32" s="228">
        <f>9.621*1.075*1.2</f>
        <v>12.41109</v>
      </c>
      <c r="E32" s="349">
        <v>270</v>
      </c>
      <c r="F32" s="351">
        <v>22.54</v>
      </c>
      <c r="G32" s="295">
        <v>0</v>
      </c>
      <c r="H32" s="297">
        <v>5.81</v>
      </c>
      <c r="I32" s="67"/>
      <c r="J32" s="68"/>
      <c r="K32" s="67"/>
      <c r="L32" s="68"/>
      <c r="M32" s="67"/>
      <c r="N32" s="68"/>
      <c r="O32" s="56"/>
    </row>
    <row r="33" spans="1:15" ht="12.75">
      <c r="A33" s="262"/>
      <c r="B33" s="65" t="s">
        <v>95</v>
      </c>
      <c r="C33" s="103">
        <v>180</v>
      </c>
      <c r="D33" s="229">
        <f>4.927*1.075*1.2</f>
        <v>6.355829999999998</v>
      </c>
      <c r="E33" s="350"/>
      <c r="F33" s="352"/>
      <c r="G33" s="296"/>
      <c r="H33" s="298"/>
      <c r="I33" s="67"/>
      <c r="J33" s="68"/>
      <c r="K33" s="67"/>
      <c r="L33" s="68"/>
      <c r="M33" s="67"/>
      <c r="N33" s="68"/>
      <c r="O33" s="56"/>
    </row>
    <row r="34" spans="1:15" ht="13.5" thickBot="1">
      <c r="A34" s="262"/>
      <c r="B34" s="65" t="s">
        <v>113</v>
      </c>
      <c r="C34" s="103">
        <v>17.25</v>
      </c>
      <c r="D34" s="231">
        <f>46.514*1.075*1.2</f>
        <v>60.00306</v>
      </c>
      <c r="E34" s="350"/>
      <c r="F34" s="352"/>
      <c r="G34" s="237">
        <v>1098.8</v>
      </c>
      <c r="H34" s="238">
        <v>47.23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61" t="s">
        <v>23</v>
      </c>
      <c r="B35" s="61" t="s">
        <v>94</v>
      </c>
      <c r="C35" s="104">
        <v>1440</v>
      </c>
      <c r="D35" s="228">
        <f>10.681*1.075*1.2</f>
        <v>13.778489999999998</v>
      </c>
      <c r="E35" s="349">
        <v>228</v>
      </c>
      <c r="F35" s="351">
        <v>22.54</v>
      </c>
      <c r="G35" s="295">
        <v>0</v>
      </c>
      <c r="H35" s="297">
        <v>5.81</v>
      </c>
      <c r="I35" s="70"/>
      <c r="J35" s="71"/>
      <c r="K35" s="70"/>
      <c r="L35" s="71"/>
      <c r="M35" s="70"/>
      <c r="N35" s="71"/>
      <c r="O35" s="56"/>
    </row>
    <row r="36" spans="1:15" ht="12.75">
      <c r="A36" s="262"/>
      <c r="B36" s="65" t="s">
        <v>95</v>
      </c>
      <c r="C36" s="103">
        <v>180</v>
      </c>
      <c r="D36" s="229">
        <f>5.597*1.075*1.2</f>
        <v>7.220129999999999</v>
      </c>
      <c r="E36" s="350"/>
      <c r="F36" s="352"/>
      <c r="G36" s="296"/>
      <c r="H36" s="298"/>
      <c r="I36" s="70"/>
      <c r="J36" s="71"/>
      <c r="K36" s="70"/>
      <c r="L36" s="71"/>
      <c r="M36" s="70"/>
      <c r="N36" s="71"/>
      <c r="O36" s="56"/>
    </row>
    <row r="37" spans="1:15" ht="13.5" thickBot="1">
      <c r="A37" s="262"/>
      <c r="B37" s="65" t="s">
        <v>113</v>
      </c>
      <c r="C37" s="103">
        <v>17.25</v>
      </c>
      <c r="D37" s="231">
        <f>46.514*1.075*1.2</f>
        <v>60.00306</v>
      </c>
      <c r="E37" s="350"/>
      <c r="F37" s="352"/>
      <c r="G37" s="237">
        <v>1098.8</v>
      </c>
      <c r="H37" s="238">
        <v>47.23</v>
      </c>
      <c r="I37" s="70"/>
      <c r="J37" s="71"/>
      <c r="K37" s="70"/>
      <c r="L37" s="71"/>
      <c r="M37" s="70"/>
      <c r="N37" s="71"/>
      <c r="O37" s="56"/>
    </row>
    <row r="38" spans="1:15" ht="13.5" thickTop="1">
      <c r="A38" s="261" t="s">
        <v>24</v>
      </c>
      <c r="B38" s="61" t="s">
        <v>94</v>
      </c>
      <c r="C38" s="104">
        <v>2160</v>
      </c>
      <c r="D38" s="228">
        <f>10.681*1.075*1.2</f>
        <v>13.778489999999998</v>
      </c>
      <c r="E38" s="349">
        <v>294</v>
      </c>
      <c r="F38" s="351">
        <v>22.54</v>
      </c>
      <c r="G38" s="295">
        <v>7550</v>
      </c>
      <c r="H38" s="297">
        <v>5.81</v>
      </c>
      <c r="I38" s="70"/>
      <c r="J38" s="71"/>
      <c r="K38" s="70"/>
      <c r="L38" s="71"/>
      <c r="M38" s="70"/>
      <c r="N38" s="71"/>
      <c r="O38" s="56"/>
    </row>
    <row r="39" spans="1:15" ht="12.75">
      <c r="A39" s="262"/>
      <c r="B39" s="65" t="s">
        <v>95</v>
      </c>
      <c r="C39" s="103">
        <v>330</v>
      </c>
      <c r="D39" s="229">
        <f>5.597*1.075*1.2</f>
        <v>7.220129999999999</v>
      </c>
      <c r="E39" s="350"/>
      <c r="F39" s="352"/>
      <c r="G39" s="296"/>
      <c r="H39" s="298"/>
      <c r="I39" s="70"/>
      <c r="J39" s="71"/>
      <c r="K39" s="70"/>
      <c r="L39" s="71"/>
      <c r="M39" s="70"/>
      <c r="N39" s="71"/>
      <c r="O39" s="56"/>
    </row>
    <row r="40" spans="1:15" ht="13.5" thickBot="1">
      <c r="A40" s="262"/>
      <c r="B40" s="65" t="s">
        <v>113</v>
      </c>
      <c r="C40" s="103">
        <v>17.25</v>
      </c>
      <c r="D40" s="231">
        <f>46.514*1.075*1.2</f>
        <v>60.00306</v>
      </c>
      <c r="E40" s="350"/>
      <c r="F40" s="352"/>
      <c r="G40" s="237">
        <v>1098.8</v>
      </c>
      <c r="H40" s="238">
        <v>47.23</v>
      </c>
      <c r="I40" s="70"/>
      <c r="J40" s="71"/>
      <c r="K40" s="70"/>
      <c r="L40" s="71"/>
      <c r="M40" s="70"/>
      <c r="N40" s="71"/>
      <c r="O40" s="56"/>
    </row>
    <row r="41" spans="1:15" ht="13.5" thickTop="1">
      <c r="A41" s="261" t="s">
        <v>25</v>
      </c>
      <c r="B41" s="61" t="s">
        <v>94</v>
      </c>
      <c r="C41" s="104"/>
      <c r="D41" s="219"/>
      <c r="E41" s="349"/>
      <c r="F41" s="351"/>
      <c r="G41" s="295"/>
      <c r="H41" s="297"/>
      <c r="I41" s="70"/>
      <c r="J41" s="71"/>
      <c r="K41" s="70"/>
      <c r="L41" s="71"/>
      <c r="M41" s="70"/>
      <c r="N41" s="71"/>
      <c r="O41" s="56"/>
    </row>
    <row r="42" spans="1:15" ht="12.75">
      <c r="A42" s="262"/>
      <c r="B42" s="65" t="s">
        <v>95</v>
      </c>
      <c r="C42" s="103"/>
      <c r="D42" s="220"/>
      <c r="E42" s="350"/>
      <c r="F42" s="352"/>
      <c r="G42" s="296"/>
      <c r="H42" s="298"/>
      <c r="I42" s="70"/>
      <c r="J42" s="71"/>
      <c r="K42" s="70"/>
      <c r="L42" s="71"/>
      <c r="M42" s="70"/>
      <c r="N42" s="71"/>
      <c r="O42" s="56"/>
    </row>
    <row r="43" spans="1:15" ht="13.5" thickBot="1">
      <c r="A43" s="262"/>
      <c r="B43" s="65" t="s">
        <v>113</v>
      </c>
      <c r="C43" s="103"/>
      <c r="D43" s="220"/>
      <c r="E43" s="350"/>
      <c r="F43" s="352"/>
      <c r="G43" s="237"/>
      <c r="H43" s="238"/>
      <c r="I43" s="69"/>
      <c r="J43" s="60"/>
      <c r="K43" s="69"/>
      <c r="L43" s="60"/>
      <c r="M43" s="69"/>
      <c r="N43" s="60"/>
      <c r="O43" s="56"/>
    </row>
    <row r="44" spans="1:15" ht="13.5" thickTop="1">
      <c r="A44" s="258" t="s">
        <v>26</v>
      </c>
      <c r="B44" s="61" t="s">
        <v>94</v>
      </c>
      <c r="C44" s="179"/>
      <c r="D44" s="219"/>
      <c r="E44" s="259"/>
      <c r="F44" s="260"/>
      <c r="G44" s="295"/>
      <c r="H44" s="297"/>
      <c r="I44" s="178"/>
      <c r="J44" s="178"/>
      <c r="K44" s="178"/>
      <c r="L44" s="178"/>
      <c r="M44" s="178"/>
      <c r="N44" s="178"/>
      <c r="O44" s="56"/>
    </row>
    <row r="45" spans="1:15" ht="12.75">
      <c r="A45" s="258"/>
      <c r="B45" s="65" t="s">
        <v>95</v>
      </c>
      <c r="C45" s="103"/>
      <c r="D45" s="220"/>
      <c r="E45" s="259"/>
      <c r="F45" s="260"/>
      <c r="G45" s="296"/>
      <c r="H45" s="298"/>
      <c r="I45" s="178"/>
      <c r="J45" s="178"/>
      <c r="K45" s="178"/>
      <c r="L45" s="178"/>
      <c r="M45" s="178"/>
      <c r="N45" s="178"/>
      <c r="O45" s="56"/>
    </row>
    <row r="46" spans="1:15" ht="13.5" thickBot="1">
      <c r="A46" s="258"/>
      <c r="B46" s="65" t="s">
        <v>113</v>
      </c>
      <c r="C46" s="182"/>
      <c r="D46" s="220"/>
      <c r="E46" s="259"/>
      <c r="F46" s="260"/>
      <c r="G46" s="237"/>
      <c r="H46" s="238"/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35:G36"/>
    <mergeCell ref="H35:H36"/>
    <mergeCell ref="G32:G33"/>
    <mergeCell ref="H32:H33"/>
    <mergeCell ref="G29:G30"/>
    <mergeCell ref="H29:H30"/>
    <mergeCell ref="H26:H27"/>
    <mergeCell ref="A29:A31"/>
    <mergeCell ref="A26:A28"/>
    <mergeCell ref="E26:E28"/>
    <mergeCell ref="F26:F28"/>
    <mergeCell ref="G26:G27"/>
    <mergeCell ref="A35:A37"/>
    <mergeCell ref="F35:F37"/>
    <mergeCell ref="E35:E37"/>
    <mergeCell ref="E29:E31"/>
    <mergeCell ref="F29:F31"/>
    <mergeCell ref="A32:A34"/>
    <mergeCell ref="E32:E34"/>
    <mergeCell ref="F32:F34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A17:A19"/>
    <mergeCell ref="E17:E19"/>
    <mergeCell ref="F17:F19"/>
    <mergeCell ref="A20:A22"/>
    <mergeCell ref="E20:E22"/>
    <mergeCell ref="F20:F22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H44:H45"/>
    <mergeCell ref="A44:A46"/>
    <mergeCell ref="E44:E46"/>
    <mergeCell ref="F44:F46"/>
    <mergeCell ref="G44:G45"/>
    <mergeCell ref="G11:G12"/>
    <mergeCell ref="H11:H12"/>
    <mergeCell ref="G14:G15"/>
    <mergeCell ref="H14:H15"/>
    <mergeCell ref="G20:G21"/>
    <mergeCell ref="H20:H21"/>
    <mergeCell ref="G17:G18"/>
    <mergeCell ref="H17:H18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D38" sqref="D38:D4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60" t="s">
        <v>29</v>
      </c>
      <c r="J1" s="360"/>
      <c r="K1" s="360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60" t="s">
        <v>2</v>
      </c>
      <c r="J2" s="360"/>
      <c r="K2" s="360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60" t="s">
        <v>3</v>
      </c>
      <c r="J3" s="360"/>
      <c r="K3" s="360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61" t="s">
        <v>5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3"/>
      <c r="O6" s="56"/>
    </row>
    <row r="7" spans="1:15" ht="12.75" customHeight="1" thickBot="1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6"/>
      <c r="O7" s="56"/>
    </row>
    <row r="8" spans="1:15" ht="15" customHeight="1" thickBot="1" thickTop="1">
      <c r="A8" s="367" t="s">
        <v>6</v>
      </c>
      <c r="B8" s="369" t="s">
        <v>7</v>
      </c>
      <c r="C8" s="370"/>
      <c r="D8" s="371"/>
      <c r="E8" s="369" t="s">
        <v>11</v>
      </c>
      <c r="F8" s="371"/>
      <c r="G8" s="372" t="s">
        <v>15</v>
      </c>
      <c r="H8" s="373"/>
      <c r="I8" s="373"/>
      <c r="J8" s="373"/>
      <c r="K8" s="373"/>
      <c r="L8" s="373"/>
      <c r="M8" s="373"/>
      <c r="N8" s="351"/>
      <c r="O8" s="56"/>
    </row>
    <row r="9" spans="1:15" ht="12.75" customHeight="1" thickTop="1">
      <c r="A9" s="262"/>
      <c r="B9" s="353" t="s">
        <v>8</v>
      </c>
      <c r="C9" s="355"/>
      <c r="D9" s="357" t="s">
        <v>9</v>
      </c>
      <c r="E9" s="374" t="s">
        <v>67</v>
      </c>
      <c r="F9" s="357" t="s">
        <v>9</v>
      </c>
      <c r="G9" s="358" t="s">
        <v>27</v>
      </c>
      <c r="H9" s="359"/>
      <c r="I9" s="358" t="s">
        <v>28</v>
      </c>
      <c r="J9" s="359"/>
      <c r="K9" s="358" t="s">
        <v>13</v>
      </c>
      <c r="L9" s="359"/>
      <c r="M9" s="358" t="s">
        <v>14</v>
      </c>
      <c r="N9" s="359"/>
      <c r="O9" s="56"/>
    </row>
    <row r="10" spans="1:15" ht="12.75" customHeight="1" thickBot="1">
      <c r="A10" s="368"/>
      <c r="B10" s="383"/>
      <c r="C10" s="384"/>
      <c r="D10" s="376"/>
      <c r="E10" s="375"/>
      <c r="F10" s="376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7" t="s">
        <v>16</v>
      </c>
      <c r="B11" s="61" t="s">
        <v>94</v>
      </c>
      <c r="C11" s="233">
        <v>0</v>
      </c>
      <c r="D11" s="228">
        <f>9.621*1.075*1.2</f>
        <v>12.41109</v>
      </c>
      <c r="E11" s="390">
        <f>73+10</f>
        <v>83</v>
      </c>
      <c r="F11" s="381">
        <v>22.54</v>
      </c>
      <c r="G11" s="234">
        <v>26310</v>
      </c>
      <c r="H11" s="235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2"/>
      <c r="B12" s="65" t="s">
        <v>95</v>
      </c>
      <c r="C12" s="211">
        <v>5640</v>
      </c>
      <c r="D12" s="229">
        <f>4.927*1.075*1.2</f>
        <v>6.355829999999998</v>
      </c>
      <c r="E12" s="380"/>
      <c r="F12" s="298"/>
      <c r="G12" s="296">
        <v>1057.14</v>
      </c>
      <c r="H12" s="298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2"/>
      <c r="B13" s="65" t="s">
        <v>113</v>
      </c>
      <c r="C13" s="210">
        <v>17.25</v>
      </c>
      <c r="D13" s="231">
        <f>46.514*1.075*1.2</f>
        <v>60.00306</v>
      </c>
      <c r="E13" s="380"/>
      <c r="F13" s="298"/>
      <c r="G13" s="377"/>
      <c r="H13" s="378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2" t="s">
        <v>17</v>
      </c>
      <c r="B14" s="61" t="s">
        <v>94</v>
      </c>
      <c r="C14" s="232">
        <v>0</v>
      </c>
      <c r="D14" s="228">
        <f>9.621*1.075*1.2</f>
        <v>12.41109</v>
      </c>
      <c r="E14" s="307">
        <f>70+10</f>
        <v>80</v>
      </c>
      <c r="F14" s="297">
        <v>22.54</v>
      </c>
      <c r="G14" s="234">
        <v>25020</v>
      </c>
      <c r="H14" s="235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2"/>
      <c r="B15" s="65" t="s">
        <v>95</v>
      </c>
      <c r="C15" s="211">
        <v>5010</v>
      </c>
      <c r="D15" s="229">
        <f>4.927*1.075*1.2</f>
        <v>6.355829999999998</v>
      </c>
      <c r="E15" s="284"/>
      <c r="F15" s="298"/>
      <c r="G15" s="296">
        <v>1057.14</v>
      </c>
      <c r="H15" s="298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2"/>
      <c r="B16" s="65" t="s">
        <v>113</v>
      </c>
      <c r="C16" s="210">
        <v>17.25</v>
      </c>
      <c r="D16" s="231">
        <f>46.514*1.075*1.2</f>
        <v>60.00306</v>
      </c>
      <c r="E16" s="284"/>
      <c r="F16" s="298"/>
      <c r="G16" s="377"/>
      <c r="H16" s="378"/>
      <c r="I16" s="65"/>
      <c r="J16" s="66"/>
      <c r="K16" s="65"/>
      <c r="L16" s="66"/>
      <c r="M16" s="65"/>
      <c r="N16" s="66"/>
      <c r="O16" s="56"/>
    </row>
    <row r="17" spans="1:15" ht="13.5" thickTop="1">
      <c r="A17" s="382" t="s">
        <v>18</v>
      </c>
      <c r="B17" s="61" t="s">
        <v>94</v>
      </c>
      <c r="C17" s="232">
        <v>0</v>
      </c>
      <c r="D17" s="228">
        <f>9.621*1.075*1.2</f>
        <v>12.41109</v>
      </c>
      <c r="E17" s="379">
        <f>60+10</f>
        <v>70</v>
      </c>
      <c r="F17" s="297">
        <v>22.54</v>
      </c>
      <c r="G17" s="234">
        <v>27350</v>
      </c>
      <c r="H17" s="235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382"/>
      <c r="B18" s="65" t="s">
        <v>95</v>
      </c>
      <c r="C18" s="211">
        <v>6240</v>
      </c>
      <c r="D18" s="229">
        <f>4.927*1.075*1.2</f>
        <v>6.355829999999998</v>
      </c>
      <c r="E18" s="380"/>
      <c r="F18" s="298"/>
      <c r="G18" s="296">
        <v>1057.14</v>
      </c>
      <c r="H18" s="298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382"/>
      <c r="B19" s="65" t="s">
        <v>113</v>
      </c>
      <c r="C19" s="210">
        <v>17.25</v>
      </c>
      <c r="D19" s="231">
        <f>46.514*1.075*1.2</f>
        <v>60.00306</v>
      </c>
      <c r="E19" s="380"/>
      <c r="F19" s="298"/>
      <c r="G19" s="377"/>
      <c r="H19" s="378"/>
      <c r="I19" s="65"/>
      <c r="J19" s="66"/>
      <c r="K19" s="65"/>
      <c r="L19" s="66"/>
      <c r="M19" s="65"/>
      <c r="N19" s="66"/>
      <c r="O19" s="56"/>
    </row>
    <row r="20" spans="1:15" ht="13.5" thickTop="1">
      <c r="A20" s="382" t="s">
        <v>19</v>
      </c>
      <c r="B20" s="61" t="s">
        <v>94</v>
      </c>
      <c r="C20" s="232">
        <v>0</v>
      </c>
      <c r="D20" s="228">
        <f>9.621*1.075*1.2</f>
        <v>12.41109</v>
      </c>
      <c r="E20" s="379">
        <f>185+25</f>
        <v>210</v>
      </c>
      <c r="F20" s="297">
        <v>22.54</v>
      </c>
      <c r="G20" s="234">
        <v>8210</v>
      </c>
      <c r="H20" s="235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382"/>
      <c r="B21" s="65" t="s">
        <v>95</v>
      </c>
      <c r="C21" s="211">
        <v>5280</v>
      </c>
      <c r="D21" s="229">
        <f>4.927*1.075*1.2</f>
        <v>6.355829999999998</v>
      </c>
      <c r="E21" s="380"/>
      <c r="F21" s="298"/>
      <c r="G21" s="296">
        <v>1057.14</v>
      </c>
      <c r="H21" s="298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382"/>
      <c r="B22" s="65" t="s">
        <v>113</v>
      </c>
      <c r="C22" s="210">
        <v>17.25</v>
      </c>
      <c r="D22" s="231">
        <f>46.514*1.075*1.2</f>
        <v>60.00306</v>
      </c>
      <c r="E22" s="380"/>
      <c r="F22" s="298"/>
      <c r="G22" s="377"/>
      <c r="H22" s="378"/>
      <c r="I22" s="65"/>
      <c r="J22" s="66"/>
      <c r="K22" s="65"/>
      <c r="L22" s="66"/>
      <c r="M22" s="65"/>
      <c r="N22" s="66"/>
      <c r="O22" s="56"/>
    </row>
    <row r="23" spans="1:15" ht="13.5" thickTop="1">
      <c r="A23" s="261" t="s">
        <v>20</v>
      </c>
      <c r="B23" s="61" t="s">
        <v>94</v>
      </c>
      <c r="C23" s="232">
        <v>0</v>
      </c>
      <c r="D23" s="228">
        <f>9.621*1.075*1.2</f>
        <v>12.41109</v>
      </c>
      <c r="E23" s="379">
        <f>215+23</f>
        <v>238</v>
      </c>
      <c r="F23" s="297">
        <v>22.54</v>
      </c>
      <c r="G23" s="234">
        <v>0</v>
      </c>
      <c r="H23" s="235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95</v>
      </c>
      <c r="C24" s="211">
        <v>5190</v>
      </c>
      <c r="D24" s="229">
        <f>4.927*1.075*1.2</f>
        <v>6.355829999999998</v>
      </c>
      <c r="E24" s="380"/>
      <c r="F24" s="298"/>
      <c r="G24" s="296">
        <v>1057.14</v>
      </c>
      <c r="H24" s="298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262"/>
      <c r="B25" s="65" t="s">
        <v>113</v>
      </c>
      <c r="C25" s="103">
        <v>17.25</v>
      </c>
      <c r="D25" s="231">
        <f>46.514*1.075*1.2</f>
        <v>60.00306</v>
      </c>
      <c r="E25" s="380"/>
      <c r="F25" s="298"/>
      <c r="G25" s="377"/>
      <c r="H25" s="378"/>
      <c r="I25" s="65"/>
      <c r="J25" s="66"/>
      <c r="K25" s="65"/>
      <c r="L25" s="66"/>
      <c r="M25" s="65"/>
      <c r="N25" s="66"/>
      <c r="O25" s="56"/>
    </row>
    <row r="26" spans="1:15" ht="13.5" thickTop="1">
      <c r="A26" s="261" t="s">
        <v>68</v>
      </c>
      <c r="B26" s="61" t="s">
        <v>94</v>
      </c>
      <c r="C26" s="104">
        <v>0</v>
      </c>
      <c r="D26" s="228">
        <f>9.621*1.075*1.2</f>
        <v>12.41109</v>
      </c>
      <c r="E26" s="379">
        <f>74+21</f>
        <v>95</v>
      </c>
      <c r="F26" s="297">
        <v>22.54</v>
      </c>
      <c r="G26" s="234">
        <v>0</v>
      </c>
      <c r="H26" s="235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95</v>
      </c>
      <c r="C27" s="103">
        <v>4920</v>
      </c>
      <c r="D27" s="229">
        <f>4.927*1.075*1.2</f>
        <v>6.355829999999998</v>
      </c>
      <c r="E27" s="380"/>
      <c r="F27" s="298"/>
      <c r="G27" s="296">
        <v>1057.14</v>
      </c>
      <c r="H27" s="298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262"/>
      <c r="B28" s="65" t="s">
        <v>113</v>
      </c>
      <c r="C28" s="103">
        <v>17.25</v>
      </c>
      <c r="D28" s="231">
        <f>46.514*1.075*1.2</f>
        <v>60.00306</v>
      </c>
      <c r="E28" s="380"/>
      <c r="F28" s="298"/>
      <c r="G28" s="377"/>
      <c r="H28" s="378"/>
      <c r="I28" s="65"/>
      <c r="J28" s="66"/>
      <c r="K28" s="65"/>
      <c r="L28" s="66"/>
      <c r="M28" s="65"/>
      <c r="N28" s="66"/>
      <c r="O28" s="56"/>
    </row>
    <row r="29" spans="1:15" ht="13.5" thickTop="1">
      <c r="A29" s="261" t="s">
        <v>69</v>
      </c>
      <c r="B29" s="61" t="s">
        <v>94</v>
      </c>
      <c r="C29" s="104">
        <v>0</v>
      </c>
      <c r="D29" s="228">
        <f>9.621*1.075*1.2</f>
        <v>12.41109</v>
      </c>
      <c r="E29" s="379">
        <f>67+8</f>
        <v>75</v>
      </c>
      <c r="F29" s="297">
        <v>22.54</v>
      </c>
      <c r="G29" s="234">
        <v>0</v>
      </c>
      <c r="H29" s="235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95</v>
      </c>
      <c r="C30" s="103">
        <v>3060</v>
      </c>
      <c r="D30" s="229">
        <f>4.927*1.075*1.2</f>
        <v>6.355829999999998</v>
      </c>
      <c r="E30" s="380"/>
      <c r="F30" s="298"/>
      <c r="G30" s="296">
        <v>1057.14</v>
      </c>
      <c r="H30" s="298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262"/>
      <c r="B31" s="65" t="s">
        <v>113</v>
      </c>
      <c r="C31" s="103">
        <v>17.25</v>
      </c>
      <c r="D31" s="231">
        <f>46.514*1.075*1.2</f>
        <v>60.00306</v>
      </c>
      <c r="E31" s="380"/>
      <c r="F31" s="298"/>
      <c r="G31" s="377"/>
      <c r="H31" s="378"/>
      <c r="I31" s="65"/>
      <c r="J31" s="66"/>
      <c r="K31" s="65"/>
      <c r="L31" s="66"/>
      <c r="M31" s="65"/>
      <c r="N31" s="66"/>
      <c r="O31" s="56"/>
    </row>
    <row r="32" spans="1:15" ht="13.5" thickTop="1">
      <c r="A32" s="261" t="s">
        <v>22</v>
      </c>
      <c r="B32" s="61" t="s">
        <v>94</v>
      </c>
      <c r="C32" s="104">
        <v>0</v>
      </c>
      <c r="D32" s="228">
        <f>9.621*1.075*1.2</f>
        <v>12.41109</v>
      </c>
      <c r="E32" s="349">
        <f>76+18</f>
        <v>94</v>
      </c>
      <c r="F32" s="351">
        <v>22.54</v>
      </c>
      <c r="G32" s="234">
        <v>0</v>
      </c>
      <c r="H32" s="235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262"/>
      <c r="B33" s="65" t="s">
        <v>95</v>
      </c>
      <c r="C33" s="103">
        <v>6660</v>
      </c>
      <c r="D33" s="229">
        <f>4.927*1.075*1.2</f>
        <v>6.355829999999998</v>
      </c>
      <c r="E33" s="350"/>
      <c r="F33" s="352"/>
      <c r="G33" s="296">
        <v>1057.14</v>
      </c>
      <c r="H33" s="298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262"/>
      <c r="B34" s="65" t="s">
        <v>113</v>
      </c>
      <c r="C34" s="103">
        <v>17.25</v>
      </c>
      <c r="D34" s="231">
        <f>46.514*1.075*1.2</f>
        <v>60.00306</v>
      </c>
      <c r="E34" s="350"/>
      <c r="F34" s="352"/>
      <c r="G34" s="377"/>
      <c r="H34" s="378"/>
      <c r="I34" s="65"/>
      <c r="J34" s="66"/>
      <c r="K34" s="65"/>
      <c r="L34" s="66"/>
      <c r="M34" s="65"/>
      <c r="N34" s="66"/>
      <c r="O34" s="56"/>
    </row>
    <row r="35" spans="1:15" ht="13.5" thickTop="1">
      <c r="A35" s="261" t="s">
        <v>23</v>
      </c>
      <c r="B35" s="61" t="s">
        <v>94</v>
      </c>
      <c r="C35" s="104">
        <v>0</v>
      </c>
      <c r="D35" s="219">
        <f>10.681*1.075*1.2</f>
        <v>13.778489999999998</v>
      </c>
      <c r="E35" s="349">
        <f>72+18</f>
        <v>90</v>
      </c>
      <c r="F35" s="351">
        <v>22.54</v>
      </c>
      <c r="G35" s="234">
        <v>0</v>
      </c>
      <c r="H35" s="235">
        <v>5.81</v>
      </c>
      <c r="I35" s="69"/>
      <c r="J35" s="60"/>
      <c r="K35" s="69"/>
      <c r="L35" s="60"/>
      <c r="M35" s="69"/>
      <c r="N35" s="60"/>
      <c r="O35" s="56"/>
    </row>
    <row r="36" spans="1:15" ht="12.75">
      <c r="A36" s="262"/>
      <c r="B36" s="65" t="s">
        <v>95</v>
      </c>
      <c r="C36" s="103">
        <v>5070</v>
      </c>
      <c r="D36" s="220">
        <f>5.597*1.075*1.2</f>
        <v>7.220129999999999</v>
      </c>
      <c r="E36" s="350"/>
      <c r="F36" s="352"/>
      <c r="G36" s="296">
        <v>1057.14</v>
      </c>
      <c r="H36" s="298">
        <v>47.23</v>
      </c>
      <c r="I36" s="65"/>
      <c r="J36" s="66"/>
      <c r="K36" s="65"/>
      <c r="L36" s="66"/>
      <c r="M36" s="65"/>
      <c r="N36" s="66"/>
      <c r="O36" s="56"/>
    </row>
    <row r="37" spans="1:15" ht="13.5" thickBot="1">
      <c r="A37" s="262"/>
      <c r="B37" s="65" t="s">
        <v>113</v>
      </c>
      <c r="C37" s="103">
        <v>17.25</v>
      </c>
      <c r="D37" s="220">
        <v>60.0031</v>
      </c>
      <c r="E37" s="350"/>
      <c r="F37" s="352"/>
      <c r="G37" s="377"/>
      <c r="H37" s="378"/>
      <c r="I37" s="65"/>
      <c r="J37" s="66"/>
      <c r="K37" s="65"/>
      <c r="L37" s="66"/>
      <c r="M37" s="65"/>
      <c r="N37" s="66"/>
      <c r="O37" s="56"/>
    </row>
    <row r="38" spans="1:15" ht="13.5" thickTop="1">
      <c r="A38" s="261" t="s">
        <v>24</v>
      </c>
      <c r="B38" s="61" t="s">
        <v>94</v>
      </c>
      <c r="C38" s="104">
        <v>0</v>
      </c>
      <c r="D38" s="219">
        <f>10.681*1.075*1.2</f>
        <v>13.778489999999998</v>
      </c>
      <c r="E38" s="349">
        <f>78+18</f>
        <v>96</v>
      </c>
      <c r="F38" s="351">
        <v>22.54</v>
      </c>
      <c r="G38" s="234">
        <v>5890</v>
      </c>
      <c r="H38" s="235">
        <v>5.81</v>
      </c>
      <c r="I38" s="69"/>
      <c r="J38" s="73"/>
      <c r="K38" s="73"/>
      <c r="L38" s="73"/>
      <c r="M38" s="73"/>
      <c r="N38" s="60"/>
      <c r="O38" s="56"/>
    </row>
    <row r="39" spans="1:15" ht="12.75">
      <c r="A39" s="262"/>
      <c r="B39" s="65" t="s">
        <v>95</v>
      </c>
      <c r="C39" s="103">
        <v>5820</v>
      </c>
      <c r="D39" s="220">
        <f>5.597*1.075*1.2</f>
        <v>7.220129999999999</v>
      </c>
      <c r="E39" s="350"/>
      <c r="F39" s="352"/>
      <c r="G39" s="296">
        <v>1057.14</v>
      </c>
      <c r="H39" s="298">
        <v>47.23</v>
      </c>
      <c r="I39" s="65"/>
      <c r="J39" s="74"/>
      <c r="K39" s="74"/>
      <c r="L39" s="74"/>
      <c r="M39" s="74"/>
      <c r="N39" s="66"/>
      <c r="O39" s="56"/>
    </row>
    <row r="40" spans="1:15" ht="12.75">
      <c r="A40" s="262"/>
      <c r="B40" s="65" t="s">
        <v>113</v>
      </c>
      <c r="C40" s="103">
        <v>17.25</v>
      </c>
      <c r="D40" s="220">
        <v>60.0031</v>
      </c>
      <c r="E40" s="350"/>
      <c r="F40" s="352"/>
      <c r="G40" s="377"/>
      <c r="H40" s="378"/>
      <c r="I40" s="65"/>
      <c r="J40" s="74"/>
      <c r="K40" s="74"/>
      <c r="L40" s="74"/>
      <c r="M40" s="74"/>
      <c r="N40" s="66"/>
      <c r="O40" s="56"/>
    </row>
    <row r="41" spans="1:15" ht="12.75">
      <c r="A41" s="261" t="s">
        <v>25</v>
      </c>
      <c r="B41" s="69" t="s">
        <v>94</v>
      </c>
      <c r="C41" s="104"/>
      <c r="D41" s="219"/>
      <c r="E41" s="349"/>
      <c r="F41" s="351"/>
      <c r="G41" s="295"/>
      <c r="H41" s="297"/>
      <c r="I41" s="69"/>
      <c r="J41" s="60"/>
      <c r="K41" s="69"/>
      <c r="L41" s="60"/>
      <c r="M41" s="69"/>
      <c r="N41" s="60"/>
      <c r="O41" s="56"/>
    </row>
    <row r="42" spans="1:15" ht="12.75">
      <c r="A42" s="262"/>
      <c r="B42" s="65" t="s">
        <v>95</v>
      </c>
      <c r="C42" s="103"/>
      <c r="D42" s="220"/>
      <c r="E42" s="350"/>
      <c r="F42" s="352"/>
      <c r="G42" s="296"/>
      <c r="H42" s="298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2"/>
      <c r="B43" s="65" t="s">
        <v>94</v>
      </c>
      <c r="C43" s="103"/>
      <c r="D43" s="220"/>
      <c r="E43" s="350"/>
      <c r="F43" s="352"/>
      <c r="G43" s="237"/>
      <c r="H43" s="238"/>
      <c r="I43" s="65"/>
      <c r="J43" s="66"/>
      <c r="K43" s="65"/>
      <c r="L43" s="66"/>
      <c r="M43" s="65"/>
      <c r="N43" s="66"/>
      <c r="O43" s="56"/>
    </row>
    <row r="44" spans="1:15" ht="12.75">
      <c r="A44" s="391" t="s">
        <v>26</v>
      </c>
      <c r="B44" s="80" t="s">
        <v>94</v>
      </c>
      <c r="C44" s="80"/>
      <c r="D44" s="219"/>
      <c r="E44" s="394"/>
      <c r="F44" s="385"/>
      <c r="G44" s="295"/>
      <c r="H44" s="297"/>
      <c r="I44" s="171"/>
      <c r="J44" s="190"/>
      <c r="K44" s="188"/>
      <c r="L44" s="190"/>
      <c r="M44" s="188"/>
      <c r="N44" s="180"/>
      <c r="O44" s="56"/>
    </row>
    <row r="45" spans="1:15" ht="12.75">
      <c r="A45" s="392"/>
      <c r="B45" s="81" t="s">
        <v>95</v>
      </c>
      <c r="C45" s="81"/>
      <c r="D45" s="220"/>
      <c r="E45" s="395"/>
      <c r="F45" s="352"/>
      <c r="G45" s="296"/>
      <c r="H45" s="298"/>
      <c r="I45" s="161"/>
      <c r="J45" s="66"/>
      <c r="K45" s="65"/>
      <c r="L45" s="66"/>
      <c r="M45" s="65"/>
      <c r="N45" s="181"/>
      <c r="O45" s="56"/>
    </row>
    <row r="46" spans="1:15" ht="13.5" thickBot="1">
      <c r="A46" s="393"/>
      <c r="B46" s="184" t="s">
        <v>94</v>
      </c>
      <c r="C46" s="184"/>
      <c r="D46" s="220"/>
      <c r="E46" s="396"/>
      <c r="F46" s="386"/>
      <c r="G46" s="237"/>
      <c r="H46" s="238"/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8" t="s">
        <v>32</v>
      </c>
      <c r="B48" s="388"/>
      <c r="C48" s="388"/>
      <c r="D48" s="38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6:G37"/>
    <mergeCell ref="H36:H37"/>
    <mergeCell ref="G33:G34"/>
    <mergeCell ref="H33:H34"/>
    <mergeCell ref="G24:G25"/>
    <mergeCell ref="H24:H25"/>
    <mergeCell ref="G27:G28"/>
    <mergeCell ref="H27:H28"/>
    <mergeCell ref="A23:A25"/>
    <mergeCell ref="E23:E25"/>
    <mergeCell ref="F23:F25"/>
    <mergeCell ref="A29:A31"/>
    <mergeCell ref="E29:E31"/>
    <mergeCell ref="F29:F31"/>
    <mergeCell ref="A26:A28"/>
    <mergeCell ref="E26:E28"/>
    <mergeCell ref="F26:F28"/>
    <mergeCell ref="B51:D51"/>
    <mergeCell ref="A41:A43"/>
    <mergeCell ref="E41:E43"/>
    <mergeCell ref="A44:A46"/>
    <mergeCell ref="E44:E46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9:C10"/>
    <mergeCell ref="G9:H9"/>
    <mergeCell ref="G12:G13"/>
    <mergeCell ref="H12:H13"/>
    <mergeCell ref="D9:D10"/>
    <mergeCell ref="E9:E10"/>
    <mergeCell ref="F9:F10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F14:F16"/>
    <mergeCell ref="F17:F19"/>
    <mergeCell ref="E20:E22"/>
    <mergeCell ref="F20:F22"/>
    <mergeCell ref="E14:E16"/>
    <mergeCell ref="G41:G42"/>
    <mergeCell ref="H41:H42"/>
    <mergeCell ref="G44:G45"/>
    <mergeCell ref="H44:H45"/>
    <mergeCell ref="G39:G40"/>
    <mergeCell ref="H39:H40"/>
    <mergeCell ref="G15:G16"/>
    <mergeCell ref="H15:H16"/>
    <mergeCell ref="G18:G19"/>
    <mergeCell ref="H18:H19"/>
    <mergeCell ref="G30:G31"/>
    <mergeCell ref="H30:H31"/>
    <mergeCell ref="G21:G22"/>
    <mergeCell ref="H21:H22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6">
      <selection activeCell="E41" sqref="E41:E43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9" t="s">
        <v>27</v>
      </c>
      <c r="H9" s="32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0" t="s">
        <v>16</v>
      </c>
      <c r="B11" s="94" t="s">
        <v>94</v>
      </c>
      <c r="C11" s="203">
        <v>5800</v>
      </c>
      <c r="D11" s="228">
        <f>9.621*1.075*1.2</f>
        <v>12.41109</v>
      </c>
      <c r="E11" s="313">
        <f>41+29</f>
        <v>70</v>
      </c>
      <c r="F11" s="314">
        <v>22.54</v>
      </c>
      <c r="G11" s="25">
        <v>23273</v>
      </c>
      <c r="H11" s="236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11"/>
      <c r="B12" s="97" t="s">
        <v>101</v>
      </c>
      <c r="C12" s="108">
        <v>0</v>
      </c>
      <c r="D12" s="229">
        <f>4.927*1.075*1.2</f>
        <v>6.355829999999998</v>
      </c>
      <c r="E12" s="408"/>
      <c r="F12" s="337"/>
      <c r="G12" s="416">
        <v>801.96</v>
      </c>
      <c r="H12" s="414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11"/>
      <c r="B13" s="97" t="s">
        <v>113</v>
      </c>
      <c r="C13" s="107">
        <v>17.25</v>
      </c>
      <c r="D13" s="231">
        <f>46.514*1.075*1.2</f>
        <v>60.00306</v>
      </c>
      <c r="E13" s="408"/>
      <c r="F13" s="337"/>
      <c r="G13" s="417"/>
      <c r="H13" s="415"/>
      <c r="I13" s="175"/>
      <c r="J13" s="122"/>
      <c r="K13" s="175"/>
      <c r="L13" s="122"/>
      <c r="M13" s="175"/>
      <c r="N13" s="122"/>
    </row>
    <row r="14" spans="1:14" ht="15" customHeight="1" thickTop="1">
      <c r="A14" s="400" t="s">
        <v>17</v>
      </c>
      <c r="B14" s="94" t="s">
        <v>94</v>
      </c>
      <c r="C14" s="204">
        <v>5640</v>
      </c>
      <c r="D14" s="228">
        <f>9.621*1.075*1.2</f>
        <v>12.41109</v>
      </c>
      <c r="E14" s="307">
        <f>35+24</f>
        <v>59</v>
      </c>
      <c r="F14" s="399">
        <v>22.54</v>
      </c>
      <c r="G14" s="25">
        <v>28093</v>
      </c>
      <c r="H14" s="236">
        <v>5.81</v>
      </c>
      <c r="I14" s="7"/>
      <c r="J14" s="163"/>
      <c r="K14" s="112"/>
      <c r="L14" s="114"/>
      <c r="M14" s="112"/>
      <c r="N14" s="114"/>
    </row>
    <row r="15" spans="1:14" ht="15" customHeight="1">
      <c r="A15" s="400"/>
      <c r="B15" s="97" t="s">
        <v>101</v>
      </c>
      <c r="C15" s="108">
        <v>0</v>
      </c>
      <c r="D15" s="229">
        <f>4.927*1.075*1.2</f>
        <v>6.355829999999998</v>
      </c>
      <c r="E15" s="284"/>
      <c r="F15" s="399"/>
      <c r="G15" s="416">
        <v>801.96</v>
      </c>
      <c r="H15" s="414">
        <v>47.23</v>
      </c>
      <c r="I15" s="7"/>
      <c r="J15" s="163"/>
      <c r="K15" s="84"/>
      <c r="L15" s="120"/>
      <c r="M15" s="84"/>
      <c r="N15" s="120"/>
    </row>
    <row r="16" spans="1:14" ht="15" customHeight="1" thickBot="1">
      <c r="A16" s="400"/>
      <c r="B16" s="97" t="s">
        <v>113</v>
      </c>
      <c r="C16" s="107">
        <v>17.25</v>
      </c>
      <c r="D16" s="231">
        <f>46.514*1.075*1.2</f>
        <v>60.00306</v>
      </c>
      <c r="E16" s="284"/>
      <c r="F16" s="399"/>
      <c r="G16" s="417"/>
      <c r="H16" s="415"/>
      <c r="I16" s="7"/>
      <c r="J16" s="163"/>
      <c r="K16" s="175"/>
      <c r="L16" s="122"/>
      <c r="M16" s="175"/>
      <c r="N16" s="122"/>
    </row>
    <row r="17" spans="1:14" ht="13.5" thickTop="1">
      <c r="A17" s="400" t="s">
        <v>18</v>
      </c>
      <c r="B17" s="94" t="s">
        <v>94</v>
      </c>
      <c r="C17" s="204">
        <v>6940</v>
      </c>
      <c r="D17" s="228">
        <f>9.621*1.075*1.2</f>
        <v>12.41109</v>
      </c>
      <c r="E17" s="407">
        <f>47+28</f>
        <v>75</v>
      </c>
      <c r="F17" s="399">
        <v>22.54</v>
      </c>
      <c r="G17" s="25">
        <v>23653</v>
      </c>
      <c r="H17" s="236">
        <v>5.81</v>
      </c>
      <c r="I17" s="112"/>
      <c r="J17" s="114"/>
      <c r="K17" s="112"/>
      <c r="L17" s="114"/>
      <c r="M17" s="112"/>
      <c r="N17" s="114"/>
    </row>
    <row r="18" spans="1:14" ht="12.75">
      <c r="A18" s="400"/>
      <c r="B18" s="97" t="s">
        <v>101</v>
      </c>
      <c r="C18" s="108">
        <v>0</v>
      </c>
      <c r="D18" s="229">
        <f>4.927*1.075*1.2</f>
        <v>6.355829999999998</v>
      </c>
      <c r="E18" s="407"/>
      <c r="F18" s="399"/>
      <c r="G18" s="416">
        <v>801.96</v>
      </c>
      <c r="H18" s="414">
        <v>47.23</v>
      </c>
      <c r="I18" s="84"/>
      <c r="J18" s="120"/>
      <c r="K18" s="84"/>
      <c r="L18" s="120"/>
      <c r="M18" s="84"/>
      <c r="N18" s="120"/>
    </row>
    <row r="19" spans="1:14" ht="13.5" thickBot="1">
      <c r="A19" s="400"/>
      <c r="B19" s="97" t="s">
        <v>113</v>
      </c>
      <c r="C19" s="107">
        <v>17.25</v>
      </c>
      <c r="D19" s="231">
        <f>46.514*1.075*1.2</f>
        <v>60.00306</v>
      </c>
      <c r="E19" s="407"/>
      <c r="F19" s="399"/>
      <c r="G19" s="417"/>
      <c r="H19" s="415"/>
      <c r="I19" s="175"/>
      <c r="J19" s="122"/>
      <c r="K19" s="175"/>
      <c r="L19" s="122"/>
      <c r="M19" s="175"/>
      <c r="N19" s="122"/>
    </row>
    <row r="20" spans="1:14" ht="13.5" thickTop="1">
      <c r="A20" s="397" t="s">
        <v>19</v>
      </c>
      <c r="B20" s="94" t="s">
        <v>94</v>
      </c>
      <c r="C20" s="204">
        <v>7040</v>
      </c>
      <c r="D20" s="228">
        <f>9.621*1.075*1.2</f>
        <v>12.41109</v>
      </c>
      <c r="E20" s="407">
        <f>59+34</f>
        <v>93</v>
      </c>
      <c r="F20" s="399">
        <v>22.54</v>
      </c>
      <c r="G20" s="25">
        <v>7281</v>
      </c>
      <c r="H20" s="236">
        <v>5.81</v>
      </c>
      <c r="I20" s="7"/>
      <c r="J20" s="8"/>
      <c r="K20" s="7"/>
      <c r="L20" s="8"/>
      <c r="M20" s="7"/>
      <c r="N20" s="8"/>
    </row>
    <row r="21" spans="1:14" ht="12.75">
      <c r="A21" s="398"/>
      <c r="B21" s="97" t="s">
        <v>101</v>
      </c>
      <c r="C21" s="108">
        <v>0</v>
      </c>
      <c r="D21" s="229">
        <f>4.927*1.075*1.2</f>
        <v>6.355829999999998</v>
      </c>
      <c r="E21" s="407"/>
      <c r="F21" s="399"/>
      <c r="G21" s="416">
        <v>801.96</v>
      </c>
      <c r="H21" s="414">
        <v>47.23</v>
      </c>
      <c r="I21" s="7"/>
      <c r="J21" s="8"/>
      <c r="K21" s="7"/>
      <c r="L21" s="8"/>
      <c r="M21" s="7"/>
      <c r="N21" s="8"/>
    </row>
    <row r="22" spans="1:14" ht="13.5" thickBot="1">
      <c r="A22" s="398"/>
      <c r="B22" s="97" t="s">
        <v>113</v>
      </c>
      <c r="C22" s="107">
        <v>17.25</v>
      </c>
      <c r="D22" s="231">
        <f>46.514*1.075*1.2</f>
        <v>60.00306</v>
      </c>
      <c r="E22" s="407"/>
      <c r="F22" s="399"/>
      <c r="G22" s="417"/>
      <c r="H22" s="415"/>
      <c r="I22" s="7"/>
      <c r="J22" s="8"/>
      <c r="K22" s="7"/>
      <c r="L22" s="8"/>
      <c r="M22" s="7"/>
      <c r="N22" s="8"/>
    </row>
    <row r="23" spans="1:14" ht="13.5" thickTop="1">
      <c r="A23" s="397" t="s">
        <v>20</v>
      </c>
      <c r="B23" s="94" t="s">
        <v>94</v>
      </c>
      <c r="C23" s="204">
        <v>5960</v>
      </c>
      <c r="D23" s="228">
        <f>9.621*1.075*1.2</f>
        <v>12.41109</v>
      </c>
      <c r="E23" s="407">
        <f>74+37</f>
        <v>111</v>
      </c>
      <c r="F23" s="399">
        <v>22.54</v>
      </c>
      <c r="G23" s="25">
        <v>0</v>
      </c>
      <c r="H23" s="236">
        <v>5.81</v>
      </c>
      <c r="I23" s="14"/>
      <c r="J23" s="15"/>
      <c r="K23" s="14"/>
      <c r="L23" s="15"/>
      <c r="M23" s="14"/>
      <c r="N23" s="15"/>
    </row>
    <row r="24" spans="1:14" ht="12.75">
      <c r="A24" s="398"/>
      <c r="B24" s="97" t="s">
        <v>101</v>
      </c>
      <c r="C24" s="108">
        <v>0</v>
      </c>
      <c r="D24" s="229">
        <f>4.927*1.075*1.2</f>
        <v>6.355829999999998</v>
      </c>
      <c r="E24" s="407"/>
      <c r="F24" s="399"/>
      <c r="G24" s="416">
        <v>801.96</v>
      </c>
      <c r="H24" s="414">
        <v>47.23</v>
      </c>
      <c r="I24" s="7"/>
      <c r="J24" s="8"/>
      <c r="K24" s="7"/>
      <c r="L24" s="8"/>
      <c r="M24" s="7"/>
      <c r="N24" s="8"/>
    </row>
    <row r="25" spans="1:14" ht="13.5" thickBot="1">
      <c r="A25" s="398"/>
      <c r="B25" s="97" t="s">
        <v>113</v>
      </c>
      <c r="C25" s="107">
        <v>17.25</v>
      </c>
      <c r="D25" s="231">
        <f>46.514*1.075*1.2</f>
        <v>60.00306</v>
      </c>
      <c r="E25" s="407"/>
      <c r="F25" s="399"/>
      <c r="G25" s="417"/>
      <c r="H25" s="415"/>
      <c r="I25" s="7"/>
      <c r="J25" s="8"/>
      <c r="K25" s="7"/>
      <c r="L25" s="8"/>
      <c r="M25" s="7"/>
      <c r="N25" s="8"/>
    </row>
    <row r="26" spans="1:14" ht="13.5" thickTop="1">
      <c r="A26" s="397" t="s">
        <v>68</v>
      </c>
      <c r="B26" s="94" t="s">
        <v>94</v>
      </c>
      <c r="C26" s="204">
        <v>3320</v>
      </c>
      <c r="D26" s="228">
        <f>9.621*1.075*1.2</f>
        <v>12.41109</v>
      </c>
      <c r="E26" s="407">
        <f>56+25</f>
        <v>81</v>
      </c>
      <c r="F26" s="399">
        <v>22.54</v>
      </c>
      <c r="G26" s="25">
        <v>0</v>
      </c>
      <c r="H26" s="236">
        <v>5.81</v>
      </c>
      <c r="I26" s="14"/>
      <c r="J26" s="15"/>
      <c r="K26" s="14"/>
      <c r="L26" s="15"/>
      <c r="M26" s="14"/>
      <c r="N26" s="15"/>
    </row>
    <row r="27" spans="1:14" ht="12.75">
      <c r="A27" s="398"/>
      <c r="B27" s="97" t="s">
        <v>101</v>
      </c>
      <c r="C27" s="108">
        <v>0</v>
      </c>
      <c r="D27" s="229">
        <f>4.927*1.075*1.2</f>
        <v>6.355829999999998</v>
      </c>
      <c r="E27" s="407"/>
      <c r="F27" s="399"/>
      <c r="G27" s="416">
        <v>801.96</v>
      </c>
      <c r="H27" s="414">
        <v>47.23</v>
      </c>
      <c r="I27" s="7"/>
      <c r="J27" s="8"/>
      <c r="K27" s="7"/>
      <c r="L27" s="8"/>
      <c r="M27" s="7"/>
      <c r="N27" s="8"/>
    </row>
    <row r="28" spans="1:14" ht="13.5" thickBot="1">
      <c r="A28" s="398"/>
      <c r="B28" s="97" t="s">
        <v>113</v>
      </c>
      <c r="C28" s="107">
        <v>17.25</v>
      </c>
      <c r="D28" s="231">
        <f>46.514*1.075*1.2</f>
        <v>60.00306</v>
      </c>
      <c r="E28" s="407"/>
      <c r="F28" s="399"/>
      <c r="G28" s="417"/>
      <c r="H28" s="415"/>
      <c r="I28" s="7"/>
      <c r="J28" s="8"/>
      <c r="K28" s="7"/>
      <c r="L28" s="8"/>
      <c r="M28" s="7"/>
      <c r="N28" s="8"/>
    </row>
    <row r="29" spans="1:14" ht="13.5" thickTop="1">
      <c r="A29" s="397" t="s">
        <v>69</v>
      </c>
      <c r="B29" s="145" t="s">
        <v>94</v>
      </c>
      <c r="C29" s="152">
        <v>1600</v>
      </c>
      <c r="D29" s="228">
        <f>9.621*1.075*1.2</f>
        <v>12.41109</v>
      </c>
      <c r="E29" s="412">
        <f>50+25</f>
        <v>75</v>
      </c>
      <c r="F29" s="336">
        <v>22.54</v>
      </c>
      <c r="G29" s="25">
        <v>0</v>
      </c>
      <c r="H29" s="236">
        <v>5.81</v>
      </c>
      <c r="I29" s="14"/>
      <c r="J29" s="15"/>
      <c r="K29" s="14"/>
      <c r="L29" s="15"/>
      <c r="M29" s="14"/>
      <c r="N29" s="15"/>
    </row>
    <row r="30" spans="1:14" ht="12.75">
      <c r="A30" s="398"/>
      <c r="B30" s="146" t="s">
        <v>101</v>
      </c>
      <c r="C30" s="79">
        <v>0</v>
      </c>
      <c r="D30" s="229">
        <f>4.927*1.075*1.2</f>
        <v>6.355829999999998</v>
      </c>
      <c r="E30" s="413"/>
      <c r="F30" s="335"/>
      <c r="G30" s="416">
        <v>801.96</v>
      </c>
      <c r="H30" s="414">
        <v>47.23</v>
      </c>
      <c r="I30" s="7"/>
      <c r="J30" s="8"/>
      <c r="K30" s="7"/>
      <c r="L30" s="8"/>
      <c r="M30" s="7"/>
      <c r="N30" s="8"/>
    </row>
    <row r="31" spans="1:14" ht="13.5" thickBot="1">
      <c r="A31" s="398"/>
      <c r="B31" s="146" t="s">
        <v>113</v>
      </c>
      <c r="C31" s="147">
        <v>17.25</v>
      </c>
      <c r="D31" s="231">
        <f>46.514*1.075*1.2</f>
        <v>60.00306</v>
      </c>
      <c r="E31" s="413"/>
      <c r="F31" s="335"/>
      <c r="G31" s="417"/>
      <c r="H31" s="415"/>
      <c r="I31" s="7"/>
      <c r="J31" s="8"/>
      <c r="K31" s="7"/>
      <c r="L31" s="8"/>
      <c r="M31" s="7"/>
      <c r="N31" s="8"/>
    </row>
    <row r="32" spans="1:14" ht="13.5" thickTop="1">
      <c r="A32" s="397" t="s">
        <v>22</v>
      </c>
      <c r="B32" s="145" t="s">
        <v>94</v>
      </c>
      <c r="C32" s="152">
        <v>1780</v>
      </c>
      <c r="D32" s="228">
        <f>9.621*1.075*1.2</f>
        <v>12.41109</v>
      </c>
      <c r="E32" s="412">
        <f>37+25</f>
        <v>62</v>
      </c>
      <c r="F32" s="336">
        <v>22.54</v>
      </c>
      <c r="G32" s="25">
        <v>0</v>
      </c>
      <c r="H32" s="236">
        <v>5.81</v>
      </c>
      <c r="I32" s="136"/>
      <c r="J32" s="148"/>
      <c r="K32" s="136"/>
      <c r="L32" s="148"/>
      <c r="M32" s="136"/>
      <c r="N32" s="148"/>
    </row>
    <row r="33" spans="1:14" ht="12.75" customHeight="1">
      <c r="A33" s="398"/>
      <c r="B33" s="146" t="s">
        <v>101</v>
      </c>
      <c r="C33" s="79">
        <v>0</v>
      </c>
      <c r="D33" s="229">
        <f>4.927*1.075*1.2</f>
        <v>6.355829999999998</v>
      </c>
      <c r="E33" s="413"/>
      <c r="F33" s="335"/>
      <c r="G33" s="416">
        <v>801.96</v>
      </c>
      <c r="H33" s="414">
        <v>47.23</v>
      </c>
      <c r="I33" s="137"/>
      <c r="J33" s="149"/>
      <c r="K33" s="137"/>
      <c r="L33" s="149"/>
      <c r="M33" s="137"/>
      <c r="N33" s="149"/>
    </row>
    <row r="34" spans="1:14" ht="12.75" customHeight="1" thickBot="1">
      <c r="A34" s="398"/>
      <c r="B34" s="146" t="s">
        <v>113</v>
      </c>
      <c r="C34" s="147">
        <v>17.25</v>
      </c>
      <c r="D34" s="231">
        <f>46.514*1.075*1.2</f>
        <v>60.00306</v>
      </c>
      <c r="E34" s="413"/>
      <c r="F34" s="335"/>
      <c r="G34" s="417"/>
      <c r="H34" s="415"/>
      <c r="I34" s="138"/>
      <c r="J34" s="150"/>
      <c r="K34" s="138"/>
      <c r="L34" s="150"/>
      <c r="M34" s="138"/>
      <c r="N34" s="150"/>
    </row>
    <row r="35" spans="1:14" ht="12.75" customHeight="1" thickTop="1">
      <c r="A35" s="397" t="s">
        <v>23</v>
      </c>
      <c r="B35" s="94" t="s">
        <v>94</v>
      </c>
      <c r="C35" s="107">
        <v>1660</v>
      </c>
      <c r="D35" s="223">
        <f>10.681*1.075*1.2</f>
        <v>13.778489999999998</v>
      </c>
      <c r="E35" s="412">
        <f>37+23</f>
        <v>60</v>
      </c>
      <c r="F35" s="336">
        <v>22.54</v>
      </c>
      <c r="G35" s="25">
        <v>0</v>
      </c>
      <c r="H35" s="236">
        <v>5.81</v>
      </c>
      <c r="I35" s="136"/>
      <c r="J35" s="148"/>
      <c r="K35" s="136"/>
      <c r="L35" s="148"/>
      <c r="M35" s="136"/>
      <c r="N35" s="148"/>
    </row>
    <row r="36" spans="1:14" ht="12.75" customHeight="1">
      <c r="A36" s="398"/>
      <c r="B36" s="97" t="s">
        <v>101</v>
      </c>
      <c r="C36" s="107">
        <v>0</v>
      </c>
      <c r="D36" s="224">
        <f>5.597*1.075*1.2</f>
        <v>7.220129999999999</v>
      </c>
      <c r="E36" s="413"/>
      <c r="F36" s="335"/>
      <c r="G36" s="416">
        <v>801.96</v>
      </c>
      <c r="H36" s="414">
        <v>47.23</v>
      </c>
      <c r="I36" s="137"/>
      <c r="J36" s="149"/>
      <c r="K36" s="137"/>
      <c r="L36" s="149"/>
      <c r="M36" s="137"/>
      <c r="N36" s="149"/>
    </row>
    <row r="37" spans="1:14" ht="12.75" customHeight="1" thickBot="1">
      <c r="A37" s="398"/>
      <c r="B37" s="97" t="s">
        <v>113</v>
      </c>
      <c r="C37" s="107">
        <v>17.25</v>
      </c>
      <c r="D37" s="224">
        <v>60.0031</v>
      </c>
      <c r="E37" s="413"/>
      <c r="F37" s="335"/>
      <c r="G37" s="417"/>
      <c r="H37" s="415"/>
      <c r="I37" s="138"/>
      <c r="J37" s="150"/>
      <c r="K37" s="138"/>
      <c r="L37" s="150"/>
      <c r="M37" s="138"/>
      <c r="N37" s="150"/>
    </row>
    <row r="38" spans="1:14" ht="13.5" thickTop="1">
      <c r="A38" s="397" t="s">
        <v>24</v>
      </c>
      <c r="B38" s="145" t="s">
        <v>94</v>
      </c>
      <c r="C38" s="136">
        <v>2660</v>
      </c>
      <c r="D38" s="223">
        <f>10.681*1.075*1.2</f>
        <v>13.778489999999998</v>
      </c>
      <c r="E38" s="338">
        <f>44+27</f>
        <v>71</v>
      </c>
      <c r="F38" s="336">
        <v>22.54</v>
      </c>
      <c r="G38" s="25">
        <v>3984</v>
      </c>
      <c r="H38" s="236">
        <v>5.81</v>
      </c>
      <c r="I38" s="136"/>
      <c r="J38" s="148"/>
      <c r="K38" s="136"/>
      <c r="L38" s="148"/>
      <c r="M38" s="136"/>
      <c r="N38" s="148"/>
    </row>
    <row r="39" spans="1:14" ht="15" customHeight="1">
      <c r="A39" s="398"/>
      <c r="B39" s="146" t="s">
        <v>101</v>
      </c>
      <c r="C39" s="137">
        <v>0</v>
      </c>
      <c r="D39" s="224">
        <f>5.597*1.075*1.2</f>
        <v>7.220129999999999</v>
      </c>
      <c r="E39" s="322"/>
      <c r="F39" s="335"/>
      <c r="G39" s="416">
        <v>801.96</v>
      </c>
      <c r="H39" s="414">
        <v>47.23</v>
      </c>
      <c r="I39" s="137"/>
      <c r="J39" s="149"/>
      <c r="K39" s="137"/>
      <c r="L39" s="149"/>
      <c r="M39" s="137"/>
      <c r="N39" s="149"/>
    </row>
    <row r="40" spans="1:14" ht="15" customHeight="1" thickBot="1">
      <c r="A40" s="398"/>
      <c r="B40" s="146" t="s">
        <v>113</v>
      </c>
      <c r="C40" s="138">
        <v>17.25</v>
      </c>
      <c r="D40" s="224">
        <v>60.0031</v>
      </c>
      <c r="E40" s="322"/>
      <c r="F40" s="335"/>
      <c r="G40" s="417"/>
      <c r="H40" s="415"/>
      <c r="I40" s="138"/>
      <c r="J40" s="150"/>
      <c r="K40" s="138"/>
      <c r="L40" s="150"/>
      <c r="M40" s="138"/>
      <c r="N40" s="150"/>
    </row>
    <row r="41" spans="1:14" ht="12.75">
      <c r="A41" s="397" t="s">
        <v>25</v>
      </c>
      <c r="B41" s="145" t="s">
        <v>94</v>
      </c>
      <c r="C41" s="158"/>
      <c r="D41" s="223"/>
      <c r="E41" s="338"/>
      <c r="F41" s="336"/>
      <c r="G41" s="295"/>
      <c r="H41" s="297"/>
      <c r="I41" s="136"/>
      <c r="J41" s="148"/>
      <c r="K41" s="136"/>
      <c r="L41" s="148"/>
      <c r="M41" s="136"/>
      <c r="N41" s="148"/>
    </row>
    <row r="42" spans="1:14" ht="15" customHeight="1">
      <c r="A42" s="398"/>
      <c r="B42" s="146" t="s">
        <v>101</v>
      </c>
      <c r="C42" s="159"/>
      <c r="D42" s="224"/>
      <c r="E42" s="322"/>
      <c r="F42" s="335"/>
      <c r="G42" s="296"/>
      <c r="H42" s="298"/>
      <c r="I42" s="137"/>
      <c r="J42" s="149"/>
      <c r="K42" s="137"/>
      <c r="L42" s="149"/>
      <c r="M42" s="137"/>
      <c r="N42" s="149"/>
    </row>
    <row r="43" spans="1:14" ht="15" customHeight="1" thickBot="1">
      <c r="A43" s="398"/>
      <c r="B43" s="146" t="s">
        <v>113</v>
      </c>
      <c r="C43" s="160"/>
      <c r="D43" s="224"/>
      <c r="E43" s="322"/>
      <c r="F43" s="335"/>
      <c r="G43" s="237"/>
      <c r="H43" s="238"/>
      <c r="I43" s="138"/>
      <c r="J43" s="150"/>
      <c r="K43" s="138"/>
      <c r="L43" s="150"/>
      <c r="M43" s="138"/>
      <c r="N43" s="150"/>
    </row>
    <row r="44" spans="1:14" ht="12.75">
      <c r="A44" s="401" t="s">
        <v>26</v>
      </c>
      <c r="B44" s="192" t="s">
        <v>94</v>
      </c>
      <c r="C44" s="136"/>
      <c r="D44" s="223"/>
      <c r="E44" s="404"/>
      <c r="F44" s="404"/>
      <c r="G44" s="295"/>
      <c r="H44" s="297"/>
      <c r="I44" s="136"/>
      <c r="J44" s="148"/>
      <c r="K44" s="136"/>
      <c r="L44" s="148"/>
      <c r="M44" s="136"/>
      <c r="N44" s="148"/>
    </row>
    <row r="45" spans="1:14" ht="15" customHeight="1">
      <c r="A45" s="402"/>
      <c r="B45" s="193" t="s">
        <v>101</v>
      </c>
      <c r="C45" s="137"/>
      <c r="D45" s="224"/>
      <c r="E45" s="405"/>
      <c r="F45" s="405"/>
      <c r="G45" s="296"/>
      <c r="H45" s="298"/>
      <c r="I45" s="137"/>
      <c r="J45" s="149"/>
      <c r="K45" s="137"/>
      <c r="L45" s="149"/>
      <c r="M45" s="137"/>
      <c r="N45" s="149"/>
    </row>
    <row r="46" spans="1:14" ht="15" customHeight="1" thickBot="1">
      <c r="A46" s="403"/>
      <c r="B46" s="194" t="s">
        <v>113</v>
      </c>
      <c r="C46" s="138"/>
      <c r="D46" s="224"/>
      <c r="E46" s="406"/>
      <c r="F46" s="406"/>
      <c r="G46" s="237"/>
      <c r="H46" s="238"/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G33:G34"/>
    <mergeCell ref="H33:H34"/>
    <mergeCell ref="G24:G25"/>
    <mergeCell ref="G27:G28"/>
    <mergeCell ref="H27:H28"/>
    <mergeCell ref="G30:G31"/>
    <mergeCell ref="H30:H31"/>
    <mergeCell ref="H24:H25"/>
    <mergeCell ref="G12:G13"/>
    <mergeCell ref="H12:H13"/>
    <mergeCell ref="G21:G22"/>
    <mergeCell ref="H21:H22"/>
    <mergeCell ref="G15:G16"/>
    <mergeCell ref="H15:H16"/>
    <mergeCell ref="G18:G19"/>
    <mergeCell ref="H18:H19"/>
    <mergeCell ref="F26:F28"/>
    <mergeCell ref="B50:E50"/>
    <mergeCell ref="F38:F40"/>
    <mergeCell ref="F29:F31"/>
    <mergeCell ref="F35:F37"/>
    <mergeCell ref="F32:F34"/>
    <mergeCell ref="F44:F46"/>
    <mergeCell ref="F41:F43"/>
    <mergeCell ref="E32:E34"/>
    <mergeCell ref="G44:G45"/>
    <mergeCell ref="H36:H37"/>
    <mergeCell ref="H44:H45"/>
    <mergeCell ref="H41:H42"/>
    <mergeCell ref="G36:G37"/>
    <mergeCell ref="G41:G42"/>
    <mergeCell ref="G39:G40"/>
    <mergeCell ref="H39:H40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0">
      <selection activeCell="C31" sqref="C31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9" t="s">
        <v>27</v>
      </c>
      <c r="H9" s="32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321"/>
      <c r="C10" s="322"/>
      <c r="D10" s="335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7" t="s">
        <v>16</v>
      </c>
      <c r="B11" s="94" t="s">
        <v>94</v>
      </c>
      <c r="C11" s="244">
        <v>4360</v>
      </c>
      <c r="D11" s="245">
        <f>8.588*1.075*1.2</f>
        <v>11.07852</v>
      </c>
      <c r="E11" s="424">
        <v>105</v>
      </c>
      <c r="F11" s="425">
        <v>22.54</v>
      </c>
      <c r="G11" s="251">
        <v>28350</v>
      </c>
      <c r="H11" s="246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4"/>
      <c r="B12" s="95" t="s">
        <v>111</v>
      </c>
      <c r="C12" s="247">
        <v>17.25</v>
      </c>
      <c r="D12" s="248">
        <f>46.514*1.075*1.2</f>
        <v>60.00306</v>
      </c>
      <c r="E12" s="346"/>
      <c r="F12" s="421"/>
      <c r="G12" s="250">
        <v>846.5</v>
      </c>
      <c r="H12" s="249">
        <v>47.23</v>
      </c>
      <c r="I12" s="7"/>
      <c r="J12" s="8"/>
      <c r="K12" s="7"/>
      <c r="L12" s="8"/>
      <c r="M12" s="7"/>
      <c r="N12" s="8"/>
    </row>
    <row r="13" spans="1:14" ht="15" customHeight="1">
      <c r="A13" s="340" t="s">
        <v>17</v>
      </c>
      <c r="B13" s="94" t="s">
        <v>94</v>
      </c>
      <c r="C13" s="133">
        <v>0</v>
      </c>
      <c r="D13" s="245">
        <f>8.588*1.075*1.2</f>
        <v>11.07852</v>
      </c>
      <c r="E13" s="345">
        <f>70</f>
        <v>70</v>
      </c>
      <c r="F13" s="422">
        <v>22.54</v>
      </c>
      <c r="G13" s="251">
        <v>33274</v>
      </c>
      <c r="H13" s="246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44"/>
      <c r="B14" s="95" t="s">
        <v>111</v>
      </c>
      <c r="C14" s="247">
        <v>0</v>
      </c>
      <c r="D14" s="248">
        <f>46.514*1.075*1.2</f>
        <v>60.00306</v>
      </c>
      <c r="E14" s="346"/>
      <c r="F14" s="423"/>
      <c r="G14" s="250">
        <v>846.5</v>
      </c>
      <c r="H14" s="249">
        <v>47.23</v>
      </c>
      <c r="I14" s="21"/>
      <c r="J14" s="22"/>
      <c r="K14" s="21"/>
      <c r="L14" s="22"/>
      <c r="M14" s="21"/>
      <c r="N14" s="22"/>
    </row>
    <row r="15" spans="1:14" ht="15" customHeight="1">
      <c r="A15" s="340" t="s">
        <v>18</v>
      </c>
      <c r="B15" s="94" t="s">
        <v>94</v>
      </c>
      <c r="C15" s="133">
        <v>2080</v>
      </c>
      <c r="D15" s="245">
        <f>8.588*1.075*1.2</f>
        <v>11.07852</v>
      </c>
      <c r="E15" s="345">
        <f>99</f>
        <v>99</v>
      </c>
      <c r="F15" s="422">
        <v>22.54</v>
      </c>
      <c r="G15" s="251">
        <v>26280</v>
      </c>
      <c r="H15" s="246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44"/>
      <c r="B16" s="95" t="s">
        <v>111</v>
      </c>
      <c r="C16" s="247">
        <v>17.25</v>
      </c>
      <c r="D16" s="248">
        <f>46.514*1.075*1.2</f>
        <v>60.00306</v>
      </c>
      <c r="E16" s="346"/>
      <c r="F16" s="423"/>
      <c r="G16" s="250">
        <v>846.5</v>
      </c>
      <c r="H16" s="249">
        <v>47.23</v>
      </c>
      <c r="I16" s="21"/>
      <c r="J16" s="22"/>
      <c r="K16" s="21"/>
      <c r="L16" s="22"/>
      <c r="M16" s="21"/>
      <c r="N16" s="22"/>
    </row>
    <row r="17" spans="1:14" ht="15" customHeight="1">
      <c r="A17" s="340" t="s">
        <v>19</v>
      </c>
      <c r="B17" s="94" t="s">
        <v>94</v>
      </c>
      <c r="C17" s="133">
        <v>1660</v>
      </c>
      <c r="D17" s="245">
        <v>11.079</v>
      </c>
      <c r="E17" s="345">
        <v>98</v>
      </c>
      <c r="F17" s="422">
        <v>22.54</v>
      </c>
      <c r="G17" s="251">
        <v>6773</v>
      </c>
      <c r="H17" s="246">
        <v>5.81</v>
      </c>
      <c r="I17" s="14"/>
      <c r="J17" s="15"/>
      <c r="K17" s="14"/>
      <c r="L17" s="15"/>
      <c r="M17" s="14"/>
      <c r="N17" s="15"/>
    </row>
    <row r="18" spans="1:14" ht="13.5" thickBot="1">
      <c r="A18" s="344"/>
      <c r="B18" s="95" t="s">
        <v>111</v>
      </c>
      <c r="C18" s="247">
        <v>17.25</v>
      </c>
      <c r="D18" s="248">
        <v>60.003</v>
      </c>
      <c r="E18" s="346"/>
      <c r="F18" s="423"/>
      <c r="G18" s="250">
        <v>846.5</v>
      </c>
      <c r="H18" s="249">
        <v>47.23</v>
      </c>
      <c r="I18" s="21"/>
      <c r="J18" s="22"/>
      <c r="K18" s="21"/>
      <c r="L18" s="22"/>
      <c r="M18" s="21"/>
      <c r="N18" s="22"/>
    </row>
    <row r="19" spans="1:14" ht="12.75">
      <c r="A19" s="340" t="s">
        <v>20</v>
      </c>
      <c r="B19" s="94" t="s">
        <v>94</v>
      </c>
      <c r="C19" s="133">
        <v>1200</v>
      </c>
      <c r="D19" s="245">
        <v>11.079</v>
      </c>
      <c r="E19" s="345">
        <v>129</v>
      </c>
      <c r="F19" s="422">
        <v>22.54</v>
      </c>
      <c r="G19" s="251">
        <v>0</v>
      </c>
      <c r="H19" s="246">
        <v>5.81</v>
      </c>
      <c r="I19" s="14"/>
      <c r="J19" s="15"/>
      <c r="K19" s="14"/>
      <c r="L19" s="15"/>
      <c r="M19" s="14"/>
      <c r="N19" s="15"/>
    </row>
    <row r="20" spans="1:14" ht="13.5" thickBot="1">
      <c r="A20" s="344"/>
      <c r="B20" s="95" t="s">
        <v>111</v>
      </c>
      <c r="C20" s="247">
        <v>17.25</v>
      </c>
      <c r="D20" s="248">
        <v>60.003</v>
      </c>
      <c r="E20" s="346"/>
      <c r="F20" s="423"/>
      <c r="G20" s="250">
        <v>846.5</v>
      </c>
      <c r="H20" s="249">
        <v>47.23</v>
      </c>
      <c r="I20" s="21"/>
      <c r="J20" s="22"/>
      <c r="K20" s="21"/>
      <c r="L20" s="22"/>
      <c r="M20" s="21"/>
      <c r="N20" s="22"/>
    </row>
    <row r="21" spans="1:14" ht="12.75">
      <c r="A21" s="340" t="s">
        <v>68</v>
      </c>
      <c r="B21" s="94" t="s">
        <v>94</v>
      </c>
      <c r="C21" s="132">
        <v>1080</v>
      </c>
      <c r="D21" s="245">
        <v>11.079</v>
      </c>
      <c r="E21" s="345">
        <v>117</v>
      </c>
      <c r="F21" s="422">
        <v>22.54</v>
      </c>
      <c r="G21" s="251">
        <v>0</v>
      </c>
      <c r="H21" s="246">
        <v>5.81</v>
      </c>
      <c r="I21" s="14"/>
      <c r="J21" s="15"/>
      <c r="K21" s="14"/>
      <c r="L21" s="15"/>
      <c r="M21" s="14"/>
      <c r="N21" s="15"/>
    </row>
    <row r="22" spans="1:14" ht="13.5" thickBot="1">
      <c r="A22" s="344"/>
      <c r="B22" s="95" t="s">
        <v>111</v>
      </c>
      <c r="C22" s="247">
        <v>17.25</v>
      </c>
      <c r="D22" s="248">
        <v>60.003</v>
      </c>
      <c r="E22" s="346"/>
      <c r="F22" s="423"/>
      <c r="G22" s="250">
        <v>846.5</v>
      </c>
      <c r="H22" s="249">
        <v>47.23</v>
      </c>
      <c r="I22" s="21"/>
      <c r="J22" s="22"/>
      <c r="K22" s="21"/>
      <c r="L22" s="22"/>
      <c r="M22" s="21"/>
      <c r="N22" s="22"/>
    </row>
    <row r="23" spans="1:14" ht="12.75">
      <c r="A23" s="340" t="s">
        <v>69</v>
      </c>
      <c r="B23" s="94" t="s">
        <v>94</v>
      </c>
      <c r="C23" s="132">
        <v>0</v>
      </c>
      <c r="D23" s="245">
        <v>11.079</v>
      </c>
      <c r="E23" s="345">
        <f>114</f>
        <v>114</v>
      </c>
      <c r="F23" s="419">
        <v>22.54</v>
      </c>
      <c r="G23" s="251">
        <v>0</v>
      </c>
      <c r="H23" s="246">
        <v>5.81</v>
      </c>
      <c r="I23" s="14"/>
      <c r="J23" s="15"/>
      <c r="K23" s="14"/>
      <c r="L23" s="15"/>
      <c r="M23" s="14"/>
      <c r="N23" s="15"/>
    </row>
    <row r="24" spans="1:14" ht="13.5" thickBot="1">
      <c r="A24" s="344"/>
      <c r="B24" s="95" t="s">
        <v>111</v>
      </c>
      <c r="C24" s="247">
        <v>17.25</v>
      </c>
      <c r="D24" s="248">
        <v>60.003</v>
      </c>
      <c r="E24" s="346"/>
      <c r="F24" s="421"/>
      <c r="G24" s="250">
        <v>846.5</v>
      </c>
      <c r="H24" s="249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340" t="s">
        <v>22</v>
      </c>
      <c r="B25" s="94" t="s">
        <v>94</v>
      </c>
      <c r="C25" s="132">
        <v>1280</v>
      </c>
      <c r="D25" s="245">
        <v>11.079</v>
      </c>
      <c r="E25" s="345">
        <f>195</f>
        <v>195</v>
      </c>
      <c r="F25" s="419">
        <v>22.54</v>
      </c>
      <c r="G25" s="251">
        <v>0</v>
      </c>
      <c r="H25" s="246">
        <v>5.81</v>
      </c>
      <c r="I25" s="21"/>
      <c r="J25" s="22"/>
      <c r="K25" s="21"/>
      <c r="L25" s="22"/>
      <c r="M25" s="21"/>
      <c r="N25" s="22"/>
    </row>
    <row r="26" spans="1:14" ht="15" customHeight="1" thickBot="1">
      <c r="A26" s="344"/>
      <c r="B26" s="95" t="s">
        <v>111</v>
      </c>
      <c r="C26" s="247">
        <v>17.25</v>
      </c>
      <c r="D26" s="248">
        <v>60.003</v>
      </c>
      <c r="E26" s="346"/>
      <c r="F26" s="421"/>
      <c r="G26" s="250">
        <v>846.5</v>
      </c>
      <c r="H26" s="249">
        <v>47.23</v>
      </c>
      <c r="I26" s="4"/>
      <c r="J26" s="5"/>
      <c r="K26" s="4"/>
      <c r="L26" s="5"/>
      <c r="M26" s="4"/>
      <c r="N26" s="5"/>
    </row>
    <row r="27" spans="1:14" ht="12.75">
      <c r="A27" s="340" t="s">
        <v>23</v>
      </c>
      <c r="B27" s="94" t="s">
        <v>94</v>
      </c>
      <c r="C27" s="132">
        <v>1100</v>
      </c>
      <c r="D27" s="245">
        <f>9.548*1.075*1.2</f>
        <v>12.316919999999998</v>
      </c>
      <c r="E27" s="345">
        <v>102</v>
      </c>
      <c r="F27" s="419">
        <v>22.54</v>
      </c>
      <c r="G27" s="251">
        <v>0</v>
      </c>
      <c r="H27" s="246">
        <v>5.81</v>
      </c>
      <c r="I27" s="4"/>
      <c r="J27" s="5"/>
      <c r="K27" s="4"/>
      <c r="L27" s="5"/>
      <c r="M27" s="4"/>
      <c r="N27" s="5"/>
    </row>
    <row r="28" spans="1:14" ht="13.5" thickBot="1">
      <c r="A28" s="344"/>
      <c r="B28" s="95" t="s">
        <v>111</v>
      </c>
      <c r="C28" s="247">
        <v>17.25</v>
      </c>
      <c r="D28" s="248">
        <v>60.0031</v>
      </c>
      <c r="E28" s="346"/>
      <c r="F28" s="421"/>
      <c r="G28" s="250">
        <v>846.5</v>
      </c>
      <c r="H28" s="249">
        <v>47.23</v>
      </c>
      <c r="I28" s="4"/>
      <c r="J28" s="5"/>
      <c r="K28" s="4"/>
      <c r="L28" s="5"/>
      <c r="M28" s="4"/>
      <c r="N28" s="5"/>
    </row>
    <row r="29" spans="1:14" ht="12.75">
      <c r="A29" s="340" t="s">
        <v>24</v>
      </c>
      <c r="B29" s="94" t="s">
        <v>94</v>
      </c>
      <c r="C29" s="132">
        <v>1920</v>
      </c>
      <c r="D29" s="245">
        <f>9.548*1.075*1.2</f>
        <v>12.316919999999998</v>
      </c>
      <c r="E29" s="345">
        <f>142</f>
        <v>142</v>
      </c>
      <c r="F29" s="419">
        <v>22.54</v>
      </c>
      <c r="G29" s="251">
        <v>5522</v>
      </c>
      <c r="H29" s="246">
        <v>5.81</v>
      </c>
      <c r="I29" s="4"/>
      <c r="J29" s="5"/>
      <c r="K29" s="4"/>
      <c r="L29" s="5"/>
      <c r="M29" s="4"/>
      <c r="N29" s="5"/>
    </row>
    <row r="30" spans="1:14" ht="13.5" thickBot="1">
      <c r="A30" s="344"/>
      <c r="B30" s="95" t="s">
        <v>111</v>
      </c>
      <c r="C30" s="247">
        <v>17.25</v>
      </c>
      <c r="D30" s="248">
        <v>60.0031</v>
      </c>
      <c r="E30" s="346"/>
      <c r="F30" s="421"/>
      <c r="G30" s="250">
        <v>846.5</v>
      </c>
      <c r="H30" s="249">
        <v>47.23</v>
      </c>
      <c r="I30" s="4"/>
      <c r="J30" s="5"/>
      <c r="K30" s="4"/>
      <c r="L30" s="5"/>
      <c r="M30" s="4"/>
      <c r="N30" s="5"/>
    </row>
    <row r="31" spans="1:14" ht="12.75">
      <c r="A31" s="340" t="s">
        <v>25</v>
      </c>
      <c r="B31" s="94" t="s">
        <v>94</v>
      </c>
      <c r="C31" s="132"/>
      <c r="D31" s="245"/>
      <c r="E31" s="345"/>
      <c r="F31" s="419"/>
      <c r="G31" s="251"/>
      <c r="H31" s="246"/>
      <c r="I31" s="4"/>
      <c r="J31" s="5"/>
      <c r="K31" s="4"/>
      <c r="L31" s="5"/>
      <c r="M31" s="4"/>
      <c r="N31" s="5"/>
    </row>
    <row r="32" spans="1:14" ht="13.5" thickBot="1">
      <c r="A32" s="344"/>
      <c r="B32" s="95" t="s">
        <v>111</v>
      </c>
      <c r="C32" s="247"/>
      <c r="D32" s="248"/>
      <c r="E32" s="346"/>
      <c r="F32" s="421"/>
      <c r="G32" s="250"/>
      <c r="H32" s="249"/>
      <c r="I32" s="4"/>
      <c r="J32" s="5"/>
      <c r="K32" s="4"/>
      <c r="L32" s="5"/>
      <c r="M32" s="4"/>
      <c r="N32" s="5"/>
    </row>
    <row r="33" spans="1:14" ht="12.75">
      <c r="A33" s="340" t="s">
        <v>26</v>
      </c>
      <c r="B33" s="94" t="s">
        <v>94</v>
      </c>
      <c r="C33" s="132"/>
      <c r="D33" s="245"/>
      <c r="E33" s="345"/>
      <c r="F33" s="419"/>
      <c r="G33" s="251"/>
      <c r="H33" s="246"/>
      <c r="I33" s="14"/>
      <c r="J33" s="15"/>
      <c r="K33" s="14"/>
      <c r="L33" s="15"/>
      <c r="M33" s="14"/>
      <c r="N33" s="15"/>
    </row>
    <row r="34" spans="1:14" ht="13.5" thickBot="1">
      <c r="A34" s="341"/>
      <c r="B34" s="95" t="s">
        <v>111</v>
      </c>
      <c r="C34" s="252"/>
      <c r="D34" s="248"/>
      <c r="E34" s="418"/>
      <c r="F34" s="420"/>
      <c r="G34" s="250"/>
      <c r="H34" s="249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3" t="s">
        <v>32</v>
      </c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 t="s">
        <v>35</v>
      </c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 t="s">
        <v>34</v>
      </c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2">
      <selection activeCell="C41" sqref="C41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0" t="s">
        <v>29</v>
      </c>
      <c r="J1" s="430"/>
      <c r="K1" s="430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0" t="s">
        <v>2</v>
      </c>
      <c r="J2" s="430"/>
      <c r="K2" s="430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0" t="s">
        <v>3</v>
      </c>
      <c r="J3" s="430"/>
      <c r="K3" s="430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9" t="s">
        <v>27</v>
      </c>
      <c r="H9" s="32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203">
        <v>2760</v>
      </c>
      <c r="D11" s="228">
        <f>9.621*1.075*1.2</f>
        <v>12.41109</v>
      </c>
      <c r="E11" s="311">
        <v>48</v>
      </c>
      <c r="F11" s="334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398"/>
      <c r="B12" s="97" t="s">
        <v>101</v>
      </c>
      <c r="C12" s="107">
        <v>0</v>
      </c>
      <c r="D12" s="229">
        <f>4.927*1.075*1.2</f>
        <v>6.355829999999998</v>
      </c>
      <c r="E12" s="413"/>
      <c r="F12" s="335"/>
      <c r="G12" s="416">
        <v>717.85</v>
      </c>
      <c r="H12" s="335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398"/>
      <c r="B13" s="97" t="s">
        <v>113</v>
      </c>
      <c r="C13" s="107">
        <v>17.25</v>
      </c>
      <c r="D13" s="231">
        <f>46.514*1.075*1.2</f>
        <v>60.00306</v>
      </c>
      <c r="E13" s="413"/>
      <c r="F13" s="335"/>
      <c r="G13" s="417"/>
      <c r="H13" s="337"/>
      <c r="I13" s="7"/>
      <c r="J13" s="8"/>
      <c r="K13" s="7"/>
      <c r="L13" s="8"/>
      <c r="M13" s="7"/>
      <c r="N13" s="8"/>
    </row>
    <row r="14" spans="1:14" ht="15.75" customHeight="1">
      <c r="A14" s="397" t="s">
        <v>17</v>
      </c>
      <c r="B14" s="94" t="s">
        <v>94</v>
      </c>
      <c r="C14" s="204">
        <v>4050</v>
      </c>
      <c r="D14" s="228">
        <f>9.621*1.075*1.2</f>
        <v>12.41109</v>
      </c>
      <c r="E14" s="412">
        <f>50</f>
        <v>50</v>
      </c>
      <c r="F14" s="426">
        <v>22.54</v>
      </c>
      <c r="G14" s="25">
        <v>32750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398"/>
      <c r="B15" s="97" t="s">
        <v>101</v>
      </c>
      <c r="C15" s="107">
        <v>0</v>
      </c>
      <c r="D15" s="229">
        <f>4.927*1.075*1.2</f>
        <v>6.355829999999998</v>
      </c>
      <c r="E15" s="413"/>
      <c r="F15" s="427"/>
      <c r="G15" s="416">
        <v>717.85</v>
      </c>
      <c r="H15" s="335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398"/>
      <c r="B16" s="97" t="s">
        <v>113</v>
      </c>
      <c r="C16" s="107">
        <v>17.25</v>
      </c>
      <c r="D16" s="231">
        <f>46.514*1.075*1.2</f>
        <v>60.00306</v>
      </c>
      <c r="E16" s="413"/>
      <c r="F16" s="427"/>
      <c r="G16" s="417"/>
      <c r="H16" s="337"/>
      <c r="I16" s="7"/>
      <c r="J16" s="8"/>
      <c r="K16" s="7"/>
      <c r="L16" s="8"/>
      <c r="M16" s="7"/>
      <c r="N16" s="8"/>
    </row>
    <row r="17" spans="1:14" ht="15.75" customHeight="1">
      <c r="A17" s="397" t="s">
        <v>18</v>
      </c>
      <c r="B17" s="94" t="s">
        <v>94</v>
      </c>
      <c r="C17" s="204">
        <v>4080</v>
      </c>
      <c r="D17" s="228">
        <f>9.621*1.075*1.2</f>
        <v>12.41109</v>
      </c>
      <c r="E17" s="412">
        <f>80</f>
        <v>80</v>
      </c>
      <c r="F17" s="426">
        <v>22.54</v>
      </c>
      <c r="G17" s="25">
        <v>27890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398"/>
      <c r="B18" s="97" t="s">
        <v>101</v>
      </c>
      <c r="C18" s="107">
        <v>0</v>
      </c>
      <c r="D18" s="229">
        <f>4.927*1.075*1.2</f>
        <v>6.355829999999998</v>
      </c>
      <c r="E18" s="413"/>
      <c r="F18" s="427"/>
      <c r="G18" s="416">
        <v>717.85</v>
      </c>
      <c r="H18" s="335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398"/>
      <c r="B19" s="97" t="s">
        <v>113</v>
      </c>
      <c r="C19" s="107">
        <v>17.25</v>
      </c>
      <c r="D19" s="231">
        <f>46.514*1.075*1.2</f>
        <v>60.00306</v>
      </c>
      <c r="E19" s="413"/>
      <c r="F19" s="427"/>
      <c r="G19" s="417"/>
      <c r="H19" s="337"/>
      <c r="I19" s="7"/>
      <c r="J19" s="8"/>
      <c r="K19" s="7"/>
      <c r="L19" s="8"/>
      <c r="M19" s="7"/>
      <c r="N19" s="8"/>
    </row>
    <row r="20" spans="1:14" ht="15" customHeight="1">
      <c r="A20" s="397" t="s">
        <v>19</v>
      </c>
      <c r="B20" s="94" t="s">
        <v>94</v>
      </c>
      <c r="C20" s="204">
        <v>2340</v>
      </c>
      <c r="D20" s="228">
        <f>9.621*1.075*1.2</f>
        <v>12.41109</v>
      </c>
      <c r="E20" s="412">
        <v>310</v>
      </c>
      <c r="F20" s="426">
        <v>22.54</v>
      </c>
      <c r="G20" s="25">
        <v>7260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398"/>
      <c r="B21" s="97" t="s">
        <v>101</v>
      </c>
      <c r="C21" s="107">
        <v>0</v>
      </c>
      <c r="D21" s="229">
        <f>4.927*1.075*1.2</f>
        <v>6.355829999999998</v>
      </c>
      <c r="E21" s="413"/>
      <c r="F21" s="427"/>
      <c r="G21" s="416">
        <v>717.85</v>
      </c>
      <c r="H21" s="335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398"/>
      <c r="B22" s="97" t="s">
        <v>113</v>
      </c>
      <c r="C22" s="107">
        <v>17.25</v>
      </c>
      <c r="D22" s="231">
        <f>46.514*1.075*1.2</f>
        <v>60.00306</v>
      </c>
      <c r="E22" s="413"/>
      <c r="F22" s="427"/>
      <c r="G22" s="417"/>
      <c r="H22" s="337"/>
      <c r="I22" s="7"/>
      <c r="J22" s="8"/>
      <c r="K22" s="7"/>
      <c r="L22" s="8"/>
      <c r="M22" s="7"/>
      <c r="N22" s="8"/>
    </row>
    <row r="23" spans="1:14" ht="12.75">
      <c r="A23" s="397" t="s">
        <v>20</v>
      </c>
      <c r="B23" s="94" t="s">
        <v>94</v>
      </c>
      <c r="C23" s="204">
        <v>2040</v>
      </c>
      <c r="D23" s="228">
        <f>9.621*1.075*1.2</f>
        <v>12.41109</v>
      </c>
      <c r="E23" s="412">
        <v>178</v>
      </c>
      <c r="F23" s="426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398"/>
      <c r="B24" s="97" t="s">
        <v>101</v>
      </c>
      <c r="C24" s="107">
        <v>0</v>
      </c>
      <c r="D24" s="229">
        <f>4.927*1.075*1.2</f>
        <v>6.355829999999998</v>
      </c>
      <c r="E24" s="413"/>
      <c r="F24" s="427"/>
      <c r="G24" s="416">
        <v>717.85</v>
      </c>
      <c r="H24" s="335">
        <v>47.23</v>
      </c>
      <c r="I24" s="7"/>
      <c r="J24" s="8"/>
      <c r="K24" s="7"/>
      <c r="L24" s="8"/>
      <c r="M24" s="7"/>
      <c r="N24" s="8"/>
    </row>
    <row r="25" spans="1:14" ht="13.5" thickBot="1">
      <c r="A25" s="398"/>
      <c r="B25" s="97" t="s">
        <v>113</v>
      </c>
      <c r="C25" s="107">
        <v>17.25</v>
      </c>
      <c r="D25" s="231">
        <f>46.514*1.075*1.2</f>
        <v>60.00306</v>
      </c>
      <c r="E25" s="413"/>
      <c r="F25" s="427"/>
      <c r="G25" s="417"/>
      <c r="H25" s="337"/>
      <c r="I25" s="7"/>
      <c r="J25" s="8"/>
      <c r="K25" s="7"/>
      <c r="L25" s="8"/>
      <c r="M25" s="7"/>
      <c r="N25" s="8"/>
    </row>
    <row r="26" spans="1:14" ht="12.75">
      <c r="A26" s="397" t="s">
        <v>68</v>
      </c>
      <c r="B26" s="94" t="s">
        <v>94</v>
      </c>
      <c r="C26" s="106">
        <v>2100</v>
      </c>
      <c r="D26" s="228">
        <f>9.621*1.075*1.2</f>
        <v>12.41109</v>
      </c>
      <c r="E26" s="412">
        <v>65</v>
      </c>
      <c r="F26" s="426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398"/>
      <c r="B27" s="97" t="s">
        <v>101</v>
      </c>
      <c r="C27" s="107">
        <v>0</v>
      </c>
      <c r="D27" s="229">
        <f>4.927*1.075*1.2</f>
        <v>6.355829999999998</v>
      </c>
      <c r="E27" s="413"/>
      <c r="F27" s="427"/>
      <c r="G27" s="416">
        <v>717.85</v>
      </c>
      <c r="H27" s="335">
        <v>47.23</v>
      </c>
      <c r="I27" s="7"/>
      <c r="J27" s="8"/>
      <c r="K27" s="7"/>
      <c r="L27" s="8"/>
      <c r="M27" s="7"/>
      <c r="N27" s="8"/>
    </row>
    <row r="28" spans="1:14" ht="13.5" thickBot="1">
      <c r="A28" s="398"/>
      <c r="B28" s="97" t="s">
        <v>113</v>
      </c>
      <c r="C28" s="107">
        <v>17.25</v>
      </c>
      <c r="D28" s="231">
        <f>46.514*1.075*1.2</f>
        <v>60.00306</v>
      </c>
      <c r="E28" s="413"/>
      <c r="F28" s="427"/>
      <c r="G28" s="417"/>
      <c r="H28" s="337"/>
      <c r="I28" s="7"/>
      <c r="J28" s="8"/>
      <c r="K28" s="7"/>
      <c r="L28" s="8"/>
      <c r="M28" s="7"/>
      <c r="N28" s="8"/>
    </row>
    <row r="29" spans="1:14" ht="12.75">
      <c r="A29" s="397" t="s">
        <v>69</v>
      </c>
      <c r="B29" s="94" t="s">
        <v>94</v>
      </c>
      <c r="C29" s="106">
        <v>1860</v>
      </c>
      <c r="D29" s="228">
        <f>9.621*1.075*1.2</f>
        <v>12.41109</v>
      </c>
      <c r="E29" s="412">
        <v>44</v>
      </c>
      <c r="F29" s="336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398"/>
      <c r="B30" s="97" t="s">
        <v>101</v>
      </c>
      <c r="C30" s="107">
        <v>0</v>
      </c>
      <c r="D30" s="229">
        <f>4.927*1.075*1.2</f>
        <v>6.355829999999998</v>
      </c>
      <c r="E30" s="413"/>
      <c r="F30" s="335"/>
      <c r="G30" s="416">
        <v>717.85</v>
      </c>
      <c r="H30" s="335">
        <v>47.23</v>
      </c>
      <c r="I30" s="7"/>
      <c r="J30" s="8"/>
      <c r="K30" s="7"/>
      <c r="L30" s="8"/>
      <c r="M30" s="7"/>
      <c r="N30" s="8"/>
    </row>
    <row r="31" spans="1:14" ht="13.5" thickBot="1">
      <c r="A31" s="398"/>
      <c r="B31" s="97" t="s">
        <v>113</v>
      </c>
      <c r="C31" s="107">
        <v>17.25</v>
      </c>
      <c r="D31" s="231">
        <f>46.514*1.075*1.2</f>
        <v>60.00306</v>
      </c>
      <c r="E31" s="413"/>
      <c r="F31" s="335"/>
      <c r="G31" s="417"/>
      <c r="H31" s="337"/>
      <c r="I31" s="7"/>
      <c r="J31" s="8"/>
      <c r="K31" s="7"/>
      <c r="L31" s="8"/>
      <c r="M31" s="7"/>
      <c r="N31" s="8"/>
    </row>
    <row r="32" spans="1:14" ht="12.75">
      <c r="A32" s="397" t="s">
        <v>22</v>
      </c>
      <c r="B32" s="99" t="s">
        <v>94</v>
      </c>
      <c r="C32" s="106">
        <v>1710</v>
      </c>
      <c r="D32" s="228">
        <f>9.621*1.075*1.2</f>
        <v>12.41109</v>
      </c>
      <c r="E32" s="412">
        <f>64</f>
        <v>64</v>
      </c>
      <c r="F32" s="336">
        <v>22.54</v>
      </c>
      <c r="G32" s="25">
        <v>0</v>
      </c>
      <c r="H32" s="15">
        <v>5.81</v>
      </c>
      <c r="I32" s="21"/>
      <c r="J32" s="22"/>
      <c r="K32" s="21"/>
      <c r="L32" s="22"/>
      <c r="M32" s="21"/>
      <c r="N32" s="22"/>
    </row>
    <row r="33" spans="1:14" ht="12.75">
      <c r="A33" s="398"/>
      <c r="B33" s="95" t="s">
        <v>95</v>
      </c>
      <c r="C33" s="107">
        <v>0</v>
      </c>
      <c r="D33" s="229">
        <f>4.927*1.075*1.2</f>
        <v>6.355829999999998</v>
      </c>
      <c r="E33" s="413"/>
      <c r="F33" s="335"/>
      <c r="G33" s="416">
        <v>717.85</v>
      </c>
      <c r="H33" s="335">
        <v>47.23</v>
      </c>
      <c r="I33" s="21"/>
      <c r="J33" s="22"/>
      <c r="K33" s="21"/>
      <c r="L33" s="22"/>
      <c r="M33" s="21"/>
      <c r="N33" s="22"/>
    </row>
    <row r="34" spans="1:14" ht="13.5" thickBot="1">
      <c r="A34" s="398"/>
      <c r="B34" s="99" t="s">
        <v>113</v>
      </c>
      <c r="C34" s="107">
        <v>17.25</v>
      </c>
      <c r="D34" s="231">
        <f>46.514*1.075*1.2</f>
        <v>60.00306</v>
      </c>
      <c r="E34" s="413"/>
      <c r="F34" s="335"/>
      <c r="G34" s="417"/>
      <c r="H34" s="337"/>
      <c r="I34" s="21"/>
      <c r="J34" s="22"/>
      <c r="K34" s="21"/>
      <c r="L34" s="22"/>
      <c r="M34" s="21"/>
      <c r="N34" s="22"/>
    </row>
    <row r="35" spans="1:14" ht="12.75">
      <c r="A35" s="397" t="s">
        <v>23</v>
      </c>
      <c r="B35" s="99" t="s">
        <v>94</v>
      </c>
      <c r="C35" s="106">
        <v>1470</v>
      </c>
      <c r="D35" s="222">
        <f>10.681*1.075*1.2</f>
        <v>13.778489999999998</v>
      </c>
      <c r="E35" s="432">
        <v>70</v>
      </c>
      <c r="F35" s="336">
        <v>22.54</v>
      </c>
      <c r="G35" s="25">
        <v>0</v>
      </c>
      <c r="H35" s="15">
        <v>5.81</v>
      </c>
      <c r="I35" s="4"/>
      <c r="J35" s="5"/>
      <c r="K35" s="4"/>
      <c r="L35" s="5"/>
      <c r="M35" s="4"/>
      <c r="N35" s="5"/>
    </row>
    <row r="36" spans="1:14" ht="15" customHeight="1">
      <c r="A36" s="398"/>
      <c r="B36" s="95" t="s">
        <v>95</v>
      </c>
      <c r="C36" s="107">
        <v>0</v>
      </c>
      <c r="D36" s="221">
        <f>5.597*1.075*1.2</f>
        <v>7.220129999999999</v>
      </c>
      <c r="E36" s="433"/>
      <c r="F36" s="335"/>
      <c r="G36" s="416">
        <v>717.85</v>
      </c>
      <c r="H36" s="335">
        <v>47.23</v>
      </c>
      <c r="I36" s="4"/>
      <c r="J36" s="5"/>
      <c r="K36" s="4"/>
      <c r="L36" s="5"/>
      <c r="M36" s="4"/>
      <c r="N36" s="5"/>
    </row>
    <row r="37" spans="1:14" ht="15" customHeight="1">
      <c r="A37" s="398"/>
      <c r="B37" s="99" t="s">
        <v>94</v>
      </c>
      <c r="C37" s="107">
        <v>17.25</v>
      </c>
      <c r="D37" s="8">
        <v>60.0031</v>
      </c>
      <c r="E37" s="433"/>
      <c r="F37" s="335"/>
      <c r="G37" s="417"/>
      <c r="H37" s="337"/>
      <c r="I37" s="4"/>
      <c r="J37" s="5"/>
      <c r="K37" s="4"/>
      <c r="L37" s="5"/>
      <c r="M37" s="4"/>
      <c r="N37" s="5"/>
    </row>
    <row r="38" spans="1:14" ht="12.75">
      <c r="A38" s="397" t="s">
        <v>24</v>
      </c>
      <c r="B38" s="99" t="s">
        <v>94</v>
      </c>
      <c r="C38" s="106">
        <v>2400</v>
      </c>
      <c r="D38" s="222">
        <f>10.681*1.075*1.2</f>
        <v>13.778489999999998</v>
      </c>
      <c r="E38" s="412">
        <f>290</f>
        <v>290</v>
      </c>
      <c r="F38" s="336">
        <v>22.54</v>
      </c>
      <c r="G38" s="25">
        <v>5570</v>
      </c>
      <c r="H38" s="15">
        <v>5.81</v>
      </c>
      <c r="I38" s="4"/>
      <c r="J38" s="5"/>
      <c r="K38" s="4"/>
      <c r="L38" s="5"/>
      <c r="M38" s="4"/>
      <c r="N38" s="5"/>
    </row>
    <row r="39" spans="1:14" ht="15" customHeight="1" thickBot="1">
      <c r="A39" s="398"/>
      <c r="B39" s="101" t="s">
        <v>95</v>
      </c>
      <c r="C39" s="107">
        <v>0</v>
      </c>
      <c r="D39" s="221">
        <f>5.597*1.075*1.2</f>
        <v>7.220129999999999</v>
      </c>
      <c r="E39" s="413"/>
      <c r="F39" s="335"/>
      <c r="G39" s="416">
        <v>717.85</v>
      </c>
      <c r="H39" s="335">
        <v>47.23</v>
      </c>
      <c r="I39" s="4"/>
      <c r="J39" s="5"/>
      <c r="K39" s="4"/>
      <c r="L39" s="5"/>
      <c r="M39" s="4"/>
      <c r="N39" s="5"/>
    </row>
    <row r="40" spans="1:14" ht="15" customHeight="1">
      <c r="A40" s="398"/>
      <c r="B40" s="99" t="s">
        <v>94</v>
      </c>
      <c r="C40" s="107">
        <v>17.25</v>
      </c>
      <c r="D40" s="8">
        <v>60.0031</v>
      </c>
      <c r="E40" s="413"/>
      <c r="F40" s="335"/>
      <c r="G40" s="417"/>
      <c r="H40" s="337"/>
      <c r="I40" s="4"/>
      <c r="J40" s="5"/>
      <c r="K40" s="4"/>
      <c r="L40" s="5"/>
      <c r="M40" s="4"/>
      <c r="N40" s="5"/>
    </row>
    <row r="41" spans="1:14" ht="12.75">
      <c r="A41" s="397" t="s">
        <v>25</v>
      </c>
      <c r="B41" s="99" t="s">
        <v>94</v>
      </c>
      <c r="C41" s="106"/>
      <c r="D41" s="222"/>
      <c r="E41" s="412"/>
      <c r="F41" s="336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398"/>
      <c r="B42" s="101" t="s">
        <v>95</v>
      </c>
      <c r="C42" s="107"/>
      <c r="D42" s="221"/>
      <c r="E42" s="413"/>
      <c r="F42" s="335"/>
      <c r="G42" s="416"/>
      <c r="H42" s="335"/>
      <c r="I42" s="4"/>
      <c r="J42" s="5"/>
      <c r="K42" s="4"/>
      <c r="L42" s="5"/>
      <c r="M42" s="4"/>
      <c r="N42" s="5"/>
    </row>
    <row r="43" spans="1:14" ht="15" customHeight="1" thickBot="1">
      <c r="A43" s="398"/>
      <c r="B43" s="99" t="s">
        <v>94</v>
      </c>
      <c r="C43" s="107"/>
      <c r="D43" s="8"/>
      <c r="E43" s="413"/>
      <c r="F43" s="335"/>
      <c r="G43" s="417"/>
      <c r="H43" s="337"/>
      <c r="I43" s="14"/>
      <c r="J43" s="15"/>
      <c r="K43" s="14"/>
      <c r="L43" s="15"/>
      <c r="M43" s="14"/>
      <c r="N43" s="15"/>
    </row>
    <row r="44" spans="1:14" ht="12.75">
      <c r="A44" s="401" t="s">
        <v>26</v>
      </c>
      <c r="B44" s="192" t="s">
        <v>94</v>
      </c>
      <c r="C44" s="77"/>
      <c r="D44" s="222"/>
      <c r="E44" s="434"/>
      <c r="F44" s="428"/>
      <c r="G44" s="25"/>
      <c r="H44" s="15"/>
      <c r="I44" s="176"/>
      <c r="J44" s="177"/>
      <c r="K44" s="176"/>
      <c r="L44" s="177"/>
      <c r="M44" s="176"/>
      <c r="N44" s="177"/>
    </row>
    <row r="45" spans="1:14" ht="15" customHeight="1" thickBot="1">
      <c r="A45" s="402"/>
      <c r="B45" s="194" t="s">
        <v>95</v>
      </c>
      <c r="C45" s="78"/>
      <c r="D45" s="221"/>
      <c r="E45" s="322"/>
      <c r="F45" s="335"/>
      <c r="G45" s="416"/>
      <c r="H45" s="335"/>
      <c r="I45" s="199"/>
      <c r="J45" s="116"/>
      <c r="K45" s="199"/>
      <c r="L45" s="116"/>
      <c r="M45" s="199"/>
      <c r="N45" s="116"/>
    </row>
    <row r="46" spans="1:14" ht="15" customHeight="1" thickBot="1">
      <c r="A46" s="403"/>
      <c r="B46" s="195" t="s">
        <v>94</v>
      </c>
      <c r="C46" s="147"/>
      <c r="D46" s="8"/>
      <c r="E46" s="435"/>
      <c r="F46" s="429"/>
      <c r="G46" s="417"/>
      <c r="H46" s="337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9:E10"/>
    <mergeCell ref="F9:F10"/>
    <mergeCell ref="G9:H9"/>
    <mergeCell ref="B9:C10"/>
    <mergeCell ref="F11:F13"/>
    <mergeCell ref="G12:G13"/>
    <mergeCell ref="H12:H13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H27:H28"/>
    <mergeCell ref="F26:F28"/>
    <mergeCell ref="H18:H19"/>
    <mergeCell ref="G21:G22"/>
    <mergeCell ref="H21:H22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7">
      <selection activeCell="C31" sqref="C31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0" t="s">
        <v>29</v>
      </c>
      <c r="J1" s="430"/>
      <c r="K1" s="430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30" t="s">
        <v>2</v>
      </c>
      <c r="J2" s="430"/>
      <c r="K2" s="430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0" t="s">
        <v>3</v>
      </c>
      <c r="J3" s="430"/>
      <c r="K3" s="430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436" t="s">
        <v>27</v>
      </c>
      <c r="H9" s="437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203">
        <v>2070</v>
      </c>
      <c r="D11" s="245">
        <f>8.588*1.075*1.2</f>
        <v>11.07852</v>
      </c>
      <c r="E11" s="311">
        <v>234</v>
      </c>
      <c r="F11" s="334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11"/>
      <c r="B12" s="95" t="s">
        <v>111</v>
      </c>
      <c r="C12" s="201">
        <v>17.25</v>
      </c>
      <c r="D12" s="248">
        <f>46.514*1.075*1.2</f>
        <v>60.00306</v>
      </c>
      <c r="E12" s="408"/>
      <c r="F12" s="337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397" t="s">
        <v>17</v>
      </c>
      <c r="B13" s="97" t="s">
        <v>94</v>
      </c>
      <c r="C13" s="108">
        <v>1200</v>
      </c>
      <c r="D13" s="245">
        <f>8.588*1.075*1.2</f>
        <v>11.07852</v>
      </c>
      <c r="E13" s="412">
        <f>190</f>
        <v>190</v>
      </c>
      <c r="F13" s="336">
        <v>22.54</v>
      </c>
      <c r="G13" s="25">
        <v>29850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11"/>
      <c r="B14" s="95" t="s">
        <v>111</v>
      </c>
      <c r="C14" s="202">
        <v>17.25</v>
      </c>
      <c r="D14" s="248">
        <f>46.514*1.075*1.2</f>
        <v>60.00306</v>
      </c>
      <c r="E14" s="408"/>
      <c r="F14" s="337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397" t="s">
        <v>18</v>
      </c>
      <c r="B15" s="99" t="s">
        <v>94</v>
      </c>
      <c r="C15" s="204">
        <v>1410</v>
      </c>
      <c r="D15" s="245">
        <f>8.588*1.075*1.2</f>
        <v>11.07852</v>
      </c>
      <c r="E15" s="412">
        <f>177</f>
        <v>177</v>
      </c>
      <c r="F15" s="336">
        <v>22.54</v>
      </c>
      <c r="G15" s="25">
        <v>25613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11"/>
      <c r="B16" s="95" t="s">
        <v>111</v>
      </c>
      <c r="C16" s="201">
        <v>17.25</v>
      </c>
      <c r="D16" s="248">
        <f>46.514*1.075*1.2</f>
        <v>60.00306</v>
      </c>
      <c r="E16" s="408"/>
      <c r="F16" s="337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397" t="s">
        <v>19</v>
      </c>
      <c r="B17" s="99" t="s">
        <v>94</v>
      </c>
      <c r="C17" s="204">
        <v>810</v>
      </c>
      <c r="D17" s="245">
        <f>8.588*1.075*1.2</f>
        <v>11.07852</v>
      </c>
      <c r="E17" s="412">
        <v>201</v>
      </c>
      <c r="F17" s="336">
        <v>22.54</v>
      </c>
      <c r="G17" s="25">
        <v>8669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11"/>
      <c r="B18" s="95" t="s">
        <v>111</v>
      </c>
      <c r="C18" s="105">
        <v>17.25</v>
      </c>
      <c r="D18" s="248">
        <f>46.514*1.075*1.2</f>
        <v>60.00306</v>
      </c>
      <c r="E18" s="408"/>
      <c r="F18" s="337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397" t="s">
        <v>20</v>
      </c>
      <c r="B19" s="99" t="s">
        <v>94</v>
      </c>
      <c r="C19" s="204">
        <v>0</v>
      </c>
      <c r="D19" s="245">
        <f>8.588*1.075*1.2</f>
        <v>11.07852</v>
      </c>
      <c r="E19" s="412">
        <v>354</v>
      </c>
      <c r="F19" s="336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11"/>
      <c r="B20" s="95" t="s">
        <v>111</v>
      </c>
      <c r="C20" s="105">
        <v>0</v>
      </c>
      <c r="D20" s="248">
        <f>46.514*1.075*1.2</f>
        <v>60.00306</v>
      </c>
      <c r="E20" s="408"/>
      <c r="F20" s="337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397" t="s">
        <v>68</v>
      </c>
      <c r="B21" s="99" t="s">
        <v>94</v>
      </c>
      <c r="C21" s="106">
        <v>0</v>
      </c>
      <c r="D21" s="245">
        <f>8.588*1.075*1.2</f>
        <v>11.07852</v>
      </c>
      <c r="E21" s="412">
        <v>245</v>
      </c>
      <c r="F21" s="336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11"/>
      <c r="B22" s="95" t="s">
        <v>111</v>
      </c>
      <c r="C22" s="105">
        <v>17.25</v>
      </c>
      <c r="D22" s="248">
        <f>46.514*1.075*1.2</f>
        <v>60.00306</v>
      </c>
      <c r="E22" s="408"/>
      <c r="F22" s="337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397" t="s">
        <v>69</v>
      </c>
      <c r="B23" s="99" t="s">
        <v>94</v>
      </c>
      <c r="C23" s="106">
        <v>2430</v>
      </c>
      <c r="D23" s="245">
        <f>8.588*1.075*1.2</f>
        <v>11.07852</v>
      </c>
      <c r="E23" s="412">
        <v>522</v>
      </c>
      <c r="F23" s="336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11"/>
      <c r="B24" s="95" t="s">
        <v>95</v>
      </c>
      <c r="C24" s="105">
        <v>17.25</v>
      </c>
      <c r="D24" s="248">
        <f>46.514*1.075*1.2</f>
        <v>60.00306</v>
      </c>
      <c r="E24" s="408"/>
      <c r="F24" s="337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397" t="s">
        <v>22</v>
      </c>
      <c r="B25" s="99" t="s">
        <v>94</v>
      </c>
      <c r="C25" s="106">
        <v>1020</v>
      </c>
      <c r="D25" s="245">
        <f>8.588*1.075*1.2</f>
        <v>11.07852</v>
      </c>
      <c r="E25" s="412">
        <v>342</v>
      </c>
      <c r="F25" s="336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2.75">
      <c r="A26" s="411"/>
      <c r="B26" s="95" t="s">
        <v>95</v>
      </c>
      <c r="C26" s="105">
        <v>17.25</v>
      </c>
      <c r="D26" s="248">
        <f>46.514*1.075*1.2</f>
        <v>60.00306</v>
      </c>
      <c r="E26" s="408"/>
      <c r="F26" s="337"/>
      <c r="G26" s="12">
        <v>1091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397" t="s">
        <v>23</v>
      </c>
      <c r="B27" s="99" t="s">
        <v>94</v>
      </c>
      <c r="C27" s="106">
        <v>810</v>
      </c>
      <c r="D27" s="222">
        <f>9.548*1.075*1.2</f>
        <v>12.316919999999998</v>
      </c>
      <c r="E27" s="412">
        <v>236</v>
      </c>
      <c r="F27" s="336">
        <v>22.54</v>
      </c>
      <c r="G27" s="25">
        <v>0</v>
      </c>
      <c r="H27" s="15">
        <v>5.81</v>
      </c>
      <c r="I27" s="4"/>
      <c r="J27" s="5"/>
      <c r="K27" s="4"/>
      <c r="L27" s="5"/>
      <c r="M27" s="4"/>
      <c r="N27" s="5"/>
    </row>
    <row r="28" spans="1:14" ht="12.75">
      <c r="A28" s="411"/>
      <c r="B28" s="95" t="s">
        <v>95</v>
      </c>
      <c r="C28" s="105">
        <v>17.25</v>
      </c>
      <c r="D28" s="22">
        <v>60.0031</v>
      </c>
      <c r="E28" s="408"/>
      <c r="F28" s="337"/>
      <c r="G28" s="12">
        <v>1091</v>
      </c>
      <c r="H28" s="22">
        <v>47.23</v>
      </c>
      <c r="I28" s="4"/>
      <c r="J28" s="5"/>
      <c r="K28" s="4"/>
      <c r="L28" s="5"/>
      <c r="M28" s="4"/>
      <c r="N28" s="5"/>
    </row>
    <row r="29" spans="1:14" ht="12.75">
      <c r="A29" s="397" t="s">
        <v>24</v>
      </c>
      <c r="B29" s="99" t="s">
        <v>94</v>
      </c>
      <c r="C29" s="106">
        <v>1170</v>
      </c>
      <c r="D29" s="222">
        <f>9.548*1.075*1.2</f>
        <v>12.316919999999998</v>
      </c>
      <c r="E29" s="412">
        <f>282</f>
        <v>282</v>
      </c>
      <c r="F29" s="336">
        <v>22.54</v>
      </c>
      <c r="G29" s="25">
        <v>4723</v>
      </c>
      <c r="H29" s="15">
        <v>5.81</v>
      </c>
      <c r="I29" s="4"/>
      <c r="J29" s="5"/>
      <c r="K29" s="4"/>
      <c r="L29" s="5"/>
      <c r="M29" s="4"/>
      <c r="N29" s="5"/>
    </row>
    <row r="30" spans="1:14" ht="12.75">
      <c r="A30" s="411"/>
      <c r="B30" s="95" t="s">
        <v>95</v>
      </c>
      <c r="C30" s="105">
        <v>17.25</v>
      </c>
      <c r="D30" s="22">
        <v>60.0031</v>
      </c>
      <c r="E30" s="408"/>
      <c r="F30" s="337"/>
      <c r="G30" s="12">
        <v>1091</v>
      </c>
      <c r="H30" s="22">
        <v>47.23</v>
      </c>
      <c r="I30" s="4"/>
      <c r="J30" s="5"/>
      <c r="K30" s="4"/>
      <c r="L30" s="5"/>
      <c r="M30" s="4"/>
      <c r="N30" s="5"/>
    </row>
    <row r="31" spans="1:14" ht="12.75">
      <c r="A31" s="397" t="s">
        <v>25</v>
      </c>
      <c r="B31" s="99" t="s">
        <v>94</v>
      </c>
      <c r="C31" s="106"/>
      <c r="D31" s="222"/>
      <c r="E31" s="412"/>
      <c r="F31" s="336"/>
      <c r="G31" s="25"/>
      <c r="H31" s="15"/>
      <c r="I31" s="4"/>
      <c r="J31" s="5"/>
      <c r="K31" s="4"/>
      <c r="L31" s="5"/>
      <c r="M31" s="4"/>
      <c r="N31" s="5"/>
    </row>
    <row r="32" spans="1:14" ht="12.75">
      <c r="A32" s="411"/>
      <c r="B32" s="95" t="s">
        <v>95</v>
      </c>
      <c r="C32" s="105"/>
      <c r="D32" s="22"/>
      <c r="E32" s="408"/>
      <c r="F32" s="337"/>
      <c r="G32" s="12"/>
      <c r="H32" s="22"/>
      <c r="I32" s="4"/>
      <c r="J32" s="5"/>
      <c r="K32" s="4"/>
      <c r="L32" s="5"/>
      <c r="M32" s="4"/>
      <c r="N32" s="5"/>
    </row>
    <row r="33" spans="1:14" ht="12.75">
      <c r="A33" s="397" t="s">
        <v>26</v>
      </c>
      <c r="B33" s="99" t="s">
        <v>94</v>
      </c>
      <c r="C33" s="106"/>
      <c r="D33" s="222"/>
      <c r="E33" s="412"/>
      <c r="F33" s="336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38"/>
      <c r="B34" s="101" t="s">
        <v>95</v>
      </c>
      <c r="C34" s="105"/>
      <c r="D34" s="22"/>
      <c r="E34" s="312"/>
      <c r="F34" s="343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3"/>
      <c r="B36" s="323"/>
      <c r="C36" s="323"/>
      <c r="D36" s="324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3"/>
      <c r="C38" s="323"/>
      <c r="D38" s="323"/>
      <c r="E38" s="324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3"/>
      <c r="C39" s="323"/>
      <c r="D39" s="32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F33:F34"/>
    <mergeCell ref="F29:F30"/>
    <mergeCell ref="A31:A32"/>
    <mergeCell ref="E31:E32"/>
    <mergeCell ref="F31:F32"/>
    <mergeCell ref="F27:F28"/>
    <mergeCell ref="A25:A26"/>
    <mergeCell ref="E25:E26"/>
    <mergeCell ref="F25:F26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F13:F14"/>
    <mergeCell ref="A11:A12"/>
    <mergeCell ref="A13:A14"/>
    <mergeCell ref="A15:A16"/>
    <mergeCell ref="E15:E16"/>
    <mergeCell ref="E13:E14"/>
    <mergeCell ref="F15:F16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9">
      <selection activeCell="E41" sqref="E41:E43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0" t="s">
        <v>29</v>
      </c>
      <c r="J1" s="430"/>
      <c r="K1" s="430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30" t="s">
        <v>2</v>
      </c>
      <c r="J2" s="430"/>
      <c r="K2" s="430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0" t="s">
        <v>3</v>
      </c>
      <c r="J3" s="430"/>
      <c r="K3" s="430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5" t="s">
        <v>5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7"/>
    </row>
    <row r="7" spans="1:14" ht="13.5" thickBot="1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</row>
    <row r="8" spans="1:14" ht="16.5" thickBot="1" thickTop="1">
      <c r="A8" s="308" t="s">
        <v>6</v>
      </c>
      <c r="B8" s="315" t="s">
        <v>7</v>
      </c>
      <c r="C8" s="318"/>
      <c r="D8" s="316"/>
      <c r="E8" s="315" t="s">
        <v>11</v>
      </c>
      <c r="F8" s="316"/>
      <c r="G8" s="331" t="s">
        <v>15</v>
      </c>
      <c r="H8" s="332"/>
      <c r="I8" s="332"/>
      <c r="J8" s="332"/>
      <c r="K8" s="332"/>
      <c r="L8" s="332"/>
      <c r="M8" s="332"/>
      <c r="N8" s="333"/>
    </row>
    <row r="9" spans="1:14" ht="13.5" thickTop="1">
      <c r="A9" s="309"/>
      <c r="B9" s="347" t="s">
        <v>8</v>
      </c>
      <c r="C9" s="348"/>
      <c r="D9" s="334" t="s">
        <v>9</v>
      </c>
      <c r="E9" s="311" t="s">
        <v>10</v>
      </c>
      <c r="F9" s="334" t="s">
        <v>9</v>
      </c>
      <c r="G9" s="319" t="s">
        <v>27</v>
      </c>
      <c r="H9" s="320"/>
      <c r="I9" s="313" t="s">
        <v>28</v>
      </c>
      <c r="J9" s="314"/>
      <c r="K9" s="313" t="s">
        <v>13</v>
      </c>
      <c r="L9" s="314"/>
      <c r="M9" s="313" t="s">
        <v>14</v>
      </c>
      <c r="N9" s="314"/>
    </row>
    <row r="10" spans="1:14" ht="15" thickBot="1">
      <c r="A10" s="310"/>
      <c r="B10" s="409"/>
      <c r="C10" s="342"/>
      <c r="D10" s="343"/>
      <c r="E10" s="312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1" t="s">
        <v>16</v>
      </c>
      <c r="B11" s="94" t="s">
        <v>94</v>
      </c>
      <c r="C11" s="203">
        <v>4676</v>
      </c>
      <c r="D11" s="228">
        <f>8.716*1.075*1.2</f>
        <v>11.243639999999997</v>
      </c>
      <c r="E11" s="311">
        <v>47</v>
      </c>
      <c r="F11" s="334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98"/>
      <c r="B12" s="97" t="s">
        <v>101</v>
      </c>
      <c r="C12" s="108">
        <v>2065</v>
      </c>
      <c r="D12" s="229">
        <f>4.887*1.075*1.2</f>
        <v>6.304229999999999</v>
      </c>
      <c r="E12" s="413"/>
      <c r="F12" s="335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1"/>
      <c r="B13" s="95" t="s">
        <v>113</v>
      </c>
      <c r="C13" s="105">
        <v>21.1</v>
      </c>
      <c r="D13" s="231">
        <f>148.844*1.075*1.2</f>
        <v>192.00875999999997</v>
      </c>
      <c r="E13" s="408"/>
      <c r="F13" s="337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397" t="s">
        <v>17</v>
      </c>
      <c r="B14" s="94" t="s">
        <v>94</v>
      </c>
      <c r="C14" s="204">
        <v>3592</v>
      </c>
      <c r="D14" s="228">
        <f>8.716*1.075*1.2</f>
        <v>11.243639999999997</v>
      </c>
      <c r="E14" s="412">
        <f>45</f>
        <v>45</v>
      </c>
      <c r="F14" s="426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398"/>
      <c r="B15" s="97" t="s">
        <v>101</v>
      </c>
      <c r="C15" s="108">
        <v>1585</v>
      </c>
      <c r="D15" s="229">
        <f>4.887*1.075*1.2</f>
        <v>6.304229999999999</v>
      </c>
      <c r="E15" s="413"/>
      <c r="F15" s="427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1"/>
      <c r="B16" s="95" t="s">
        <v>113</v>
      </c>
      <c r="C16" s="105">
        <v>21.1</v>
      </c>
      <c r="D16" s="231">
        <f>148.844*1.075*1.2</f>
        <v>192.00875999999997</v>
      </c>
      <c r="E16" s="408"/>
      <c r="F16" s="439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397" t="s">
        <v>18</v>
      </c>
      <c r="B17" s="94" t="s">
        <v>94</v>
      </c>
      <c r="C17" s="204">
        <v>4404</v>
      </c>
      <c r="D17" s="228">
        <f>8.716*1.075*1.2</f>
        <v>11.243639999999997</v>
      </c>
      <c r="E17" s="412">
        <v>19</v>
      </c>
      <c r="F17" s="426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398"/>
      <c r="B18" s="97" t="s">
        <v>101</v>
      </c>
      <c r="C18" s="108">
        <v>1931</v>
      </c>
      <c r="D18" s="229">
        <f>4.887*1.075*1.2</f>
        <v>6.304229999999999</v>
      </c>
      <c r="E18" s="413"/>
      <c r="F18" s="427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1"/>
      <c r="B19" s="95" t="s">
        <v>113</v>
      </c>
      <c r="C19" s="105">
        <v>21.1</v>
      </c>
      <c r="D19" s="231">
        <f>148.844*1.075*1.2</f>
        <v>192.00875999999997</v>
      </c>
      <c r="E19" s="408"/>
      <c r="F19" s="439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397" t="s">
        <v>19</v>
      </c>
      <c r="B20" s="94" t="s">
        <v>94</v>
      </c>
      <c r="C20" s="204">
        <v>1336</v>
      </c>
      <c r="D20" s="228">
        <f>8.716*1.075*1.2</f>
        <v>11.243639999999997</v>
      </c>
      <c r="E20" s="412">
        <v>32</v>
      </c>
      <c r="F20" s="426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98"/>
      <c r="B21" s="97" t="s">
        <v>101</v>
      </c>
      <c r="C21" s="107">
        <v>452</v>
      </c>
      <c r="D21" s="229">
        <f>4.887*1.075*1.2</f>
        <v>6.304229999999999</v>
      </c>
      <c r="E21" s="413"/>
      <c r="F21" s="427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1"/>
      <c r="B22" s="95" t="s">
        <v>113</v>
      </c>
      <c r="C22" s="105">
        <v>21.1</v>
      </c>
      <c r="D22" s="231">
        <f>148.844*1.075*1.2</f>
        <v>192.00875999999997</v>
      </c>
      <c r="E22" s="408"/>
      <c r="F22" s="439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397" t="s">
        <v>20</v>
      </c>
      <c r="B23" s="94" t="s">
        <v>94</v>
      </c>
      <c r="C23" s="106">
        <v>459</v>
      </c>
      <c r="D23" s="228">
        <f>8.716*1.075*1.2</f>
        <v>11.243639999999997</v>
      </c>
      <c r="E23" s="412">
        <v>31</v>
      </c>
      <c r="F23" s="426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398"/>
      <c r="B24" s="97" t="s">
        <v>101</v>
      </c>
      <c r="C24" s="107">
        <v>50</v>
      </c>
      <c r="D24" s="229">
        <f>4.887*1.075*1.2</f>
        <v>6.304229999999999</v>
      </c>
      <c r="E24" s="413"/>
      <c r="F24" s="427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1"/>
      <c r="B25" s="95" t="s">
        <v>113</v>
      </c>
      <c r="C25" s="105">
        <v>21.1</v>
      </c>
      <c r="D25" s="231">
        <f>148.844*1.075*1.2</f>
        <v>192.00875999999997</v>
      </c>
      <c r="E25" s="408"/>
      <c r="F25" s="439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397" t="s">
        <v>68</v>
      </c>
      <c r="B26" s="94" t="s">
        <v>94</v>
      </c>
      <c r="C26" s="106">
        <v>461</v>
      </c>
      <c r="D26" s="228">
        <f>8.716*1.075*1.2</f>
        <v>11.243639999999997</v>
      </c>
      <c r="E26" s="412">
        <v>39</v>
      </c>
      <c r="F26" s="426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398"/>
      <c r="B27" s="97" t="s">
        <v>101</v>
      </c>
      <c r="C27" s="107">
        <v>80</v>
      </c>
      <c r="D27" s="229">
        <f>4.887*1.075*1.2</f>
        <v>6.304229999999999</v>
      </c>
      <c r="E27" s="413"/>
      <c r="F27" s="427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1"/>
      <c r="B28" s="95" t="s">
        <v>113</v>
      </c>
      <c r="C28" s="105">
        <v>21.1</v>
      </c>
      <c r="D28" s="231">
        <f>148.844*1.075*1.2</f>
        <v>192.00875999999997</v>
      </c>
      <c r="E28" s="408"/>
      <c r="F28" s="439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397" t="s">
        <v>69</v>
      </c>
      <c r="B29" s="94" t="s">
        <v>94</v>
      </c>
      <c r="C29" s="106">
        <v>119</v>
      </c>
      <c r="D29" s="228">
        <f>8.716*1.075*1.2</f>
        <v>11.243639999999997</v>
      </c>
      <c r="E29" s="412">
        <v>7</v>
      </c>
      <c r="F29" s="336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398"/>
      <c r="B30" s="97" t="s">
        <v>101</v>
      </c>
      <c r="C30" s="107">
        <v>46</v>
      </c>
      <c r="D30" s="229">
        <f>4.887*1.075*1.2</f>
        <v>6.304229999999999</v>
      </c>
      <c r="E30" s="413"/>
      <c r="F30" s="335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1"/>
      <c r="B31" s="95" t="s">
        <v>113</v>
      </c>
      <c r="C31" s="105">
        <v>21.1</v>
      </c>
      <c r="D31" s="231">
        <f>148.844*1.075*1.2</f>
        <v>192.00875999999997</v>
      </c>
      <c r="E31" s="408"/>
      <c r="F31" s="337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397" t="s">
        <v>22</v>
      </c>
      <c r="B32" s="94" t="s">
        <v>94</v>
      </c>
      <c r="C32" s="106">
        <v>256</v>
      </c>
      <c r="D32" s="228">
        <f>8.716*1.075*1.2</f>
        <v>11.243639999999997</v>
      </c>
      <c r="E32" s="412">
        <v>12</v>
      </c>
      <c r="F32" s="336">
        <v>22.54</v>
      </c>
      <c r="G32" s="412"/>
      <c r="H32" s="336"/>
      <c r="I32" s="21"/>
      <c r="J32" s="22"/>
      <c r="K32" s="21"/>
      <c r="L32" s="22"/>
      <c r="M32" s="21"/>
      <c r="N32" s="22"/>
    </row>
    <row r="33" spans="1:14" ht="12.75">
      <c r="A33" s="398"/>
      <c r="B33" s="97" t="s">
        <v>101</v>
      </c>
      <c r="C33" s="107">
        <v>66</v>
      </c>
      <c r="D33" s="229">
        <f>4.887*1.075*1.2</f>
        <v>6.304229999999999</v>
      </c>
      <c r="E33" s="413"/>
      <c r="F33" s="335"/>
      <c r="G33" s="413"/>
      <c r="H33" s="335"/>
      <c r="I33" s="21"/>
      <c r="J33" s="22"/>
      <c r="K33" s="21"/>
      <c r="L33" s="22"/>
      <c r="M33" s="21"/>
      <c r="N33" s="22"/>
    </row>
    <row r="34" spans="1:14" ht="13.5" thickBot="1">
      <c r="A34" s="411"/>
      <c r="B34" s="95" t="s">
        <v>113</v>
      </c>
      <c r="C34" s="105">
        <v>21.1</v>
      </c>
      <c r="D34" s="231">
        <f>148.844*1.075*1.2</f>
        <v>192.00875999999997</v>
      </c>
      <c r="E34" s="408"/>
      <c r="F34" s="337"/>
      <c r="G34" s="408"/>
      <c r="H34" s="337"/>
      <c r="I34" s="4"/>
      <c r="J34" s="5"/>
      <c r="K34" s="4"/>
      <c r="L34" s="5"/>
      <c r="M34" s="4"/>
      <c r="N34" s="5"/>
    </row>
    <row r="35" spans="1:14" ht="12.75">
      <c r="A35" s="397" t="s">
        <v>23</v>
      </c>
      <c r="B35" s="99" t="s">
        <v>94</v>
      </c>
      <c r="C35" s="106">
        <v>443</v>
      </c>
      <c r="D35" s="257">
        <f>9.776*1.075*1.2</f>
        <v>12.61104</v>
      </c>
      <c r="E35" s="412">
        <v>38</v>
      </c>
      <c r="F35" s="336">
        <v>22.54</v>
      </c>
      <c r="G35" s="21"/>
      <c r="H35" s="22"/>
      <c r="I35" s="4"/>
      <c r="J35" s="5"/>
      <c r="K35" s="4"/>
      <c r="L35" s="5"/>
      <c r="M35" s="4"/>
      <c r="N35" s="5"/>
    </row>
    <row r="36" spans="1:14" ht="12.75">
      <c r="A36" s="398"/>
      <c r="B36" s="95" t="s">
        <v>95</v>
      </c>
      <c r="C36" s="107">
        <v>77</v>
      </c>
      <c r="D36" s="240">
        <f>5.557*1.075*1.2</f>
        <v>7.16853</v>
      </c>
      <c r="E36" s="413"/>
      <c r="F36" s="335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1"/>
      <c r="B37" s="95" t="s">
        <v>107</v>
      </c>
      <c r="C37" s="105">
        <v>21.1</v>
      </c>
      <c r="D37" s="226">
        <v>192.01</v>
      </c>
      <c r="E37" s="408"/>
      <c r="F37" s="337"/>
      <c r="G37" s="4"/>
      <c r="H37" s="5"/>
      <c r="I37" s="4"/>
      <c r="J37" s="5"/>
      <c r="K37" s="4"/>
      <c r="L37" s="5"/>
      <c r="M37" s="4"/>
      <c r="N37" s="5"/>
    </row>
    <row r="38" spans="1:14" ht="12.75">
      <c r="A38" s="397" t="s">
        <v>24</v>
      </c>
      <c r="B38" s="99" t="s">
        <v>94</v>
      </c>
      <c r="C38" s="106">
        <v>1195</v>
      </c>
      <c r="D38" s="257">
        <f>9.776*1.075*1.2</f>
        <v>12.61104</v>
      </c>
      <c r="E38" s="412">
        <v>42</v>
      </c>
      <c r="F38" s="336">
        <v>22.54</v>
      </c>
      <c r="G38" s="4"/>
      <c r="H38" s="5"/>
      <c r="I38" s="4"/>
      <c r="J38" s="5"/>
      <c r="K38" s="4"/>
      <c r="L38" s="5"/>
      <c r="M38" s="4"/>
      <c r="N38" s="5"/>
    </row>
    <row r="39" spans="1:14" ht="12.75">
      <c r="A39" s="398"/>
      <c r="B39" s="95" t="s">
        <v>95</v>
      </c>
      <c r="C39" s="107">
        <v>239</v>
      </c>
      <c r="D39" s="240">
        <f>5.557*1.075*1.2</f>
        <v>7.16853</v>
      </c>
      <c r="E39" s="413"/>
      <c r="F39" s="335"/>
      <c r="G39" s="4"/>
      <c r="H39" s="5"/>
      <c r="I39" s="4"/>
      <c r="J39" s="5"/>
      <c r="K39" s="4"/>
      <c r="L39" s="5"/>
      <c r="M39" s="4"/>
      <c r="N39" s="5"/>
    </row>
    <row r="40" spans="1:14" ht="12.75">
      <c r="A40" s="411"/>
      <c r="B40" s="95" t="s">
        <v>107</v>
      </c>
      <c r="C40" s="105">
        <v>21.1</v>
      </c>
      <c r="D40" s="226">
        <v>192.01</v>
      </c>
      <c r="E40" s="408"/>
      <c r="F40" s="337"/>
      <c r="G40" s="4"/>
      <c r="H40" s="5"/>
      <c r="I40" s="4"/>
      <c r="J40" s="5"/>
      <c r="K40" s="4"/>
      <c r="L40" s="5"/>
      <c r="M40" s="4"/>
      <c r="N40" s="5"/>
    </row>
    <row r="41" spans="1:14" ht="12.75">
      <c r="A41" s="397" t="s">
        <v>25</v>
      </c>
      <c r="B41" s="99" t="s">
        <v>94</v>
      </c>
      <c r="C41" s="106"/>
      <c r="D41" s="239"/>
      <c r="E41" s="412"/>
      <c r="F41" s="336"/>
      <c r="G41" s="4"/>
      <c r="H41" s="5"/>
      <c r="I41" s="4"/>
      <c r="J41" s="5"/>
      <c r="K41" s="4"/>
      <c r="L41" s="5"/>
      <c r="M41" s="4"/>
      <c r="N41" s="5"/>
    </row>
    <row r="42" spans="1:14" ht="12.75">
      <c r="A42" s="398"/>
      <c r="B42" s="95" t="s">
        <v>95</v>
      </c>
      <c r="C42" s="107"/>
      <c r="D42" s="240"/>
      <c r="E42" s="413"/>
      <c r="F42" s="335"/>
      <c r="G42" s="4"/>
      <c r="H42" s="5"/>
      <c r="I42" s="4"/>
      <c r="J42" s="5"/>
      <c r="K42" s="4"/>
      <c r="L42" s="5"/>
      <c r="M42" s="4"/>
      <c r="N42" s="5"/>
    </row>
    <row r="43" spans="1:14" ht="12.75">
      <c r="A43" s="411"/>
      <c r="B43" s="95" t="s">
        <v>107</v>
      </c>
      <c r="C43" s="105"/>
      <c r="D43" s="226"/>
      <c r="E43" s="408"/>
      <c r="F43" s="337"/>
      <c r="G43" s="4"/>
      <c r="H43" s="5"/>
      <c r="I43" s="4"/>
      <c r="J43" s="5"/>
      <c r="K43" s="4"/>
      <c r="L43" s="5"/>
      <c r="M43" s="4"/>
      <c r="N43" s="5"/>
    </row>
    <row r="44" spans="1:14" ht="12.75">
      <c r="A44" s="397" t="s">
        <v>26</v>
      </c>
      <c r="B44" s="99" t="s">
        <v>94</v>
      </c>
      <c r="C44" s="106"/>
      <c r="D44" s="239"/>
      <c r="E44" s="412"/>
      <c r="F44" s="336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398"/>
      <c r="B45" s="95" t="s">
        <v>95</v>
      </c>
      <c r="C45" s="107"/>
      <c r="D45" s="240"/>
      <c r="E45" s="413"/>
      <c r="F45" s="335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38"/>
      <c r="B46" s="95" t="s">
        <v>107</v>
      </c>
      <c r="C46" s="105"/>
      <c r="D46" s="226"/>
      <c r="E46" s="312"/>
      <c r="F46" s="343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3" t="s">
        <v>32</v>
      </c>
      <c r="B48" s="323"/>
      <c r="C48" s="323"/>
      <c r="D48" s="324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3" t="s">
        <v>35</v>
      </c>
      <c r="C50" s="323"/>
      <c r="D50" s="323"/>
      <c r="E50" s="324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3" t="s">
        <v>34</v>
      </c>
      <c r="C51" s="323"/>
      <c r="D51" s="32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2018-11-20T07:12:12Z</dcterms:modified>
  <cp:category/>
  <cp:version/>
  <cp:contentType/>
  <cp:contentStatus/>
</cp:coreProperties>
</file>