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јеленко р.бања" sheetId="14" r:id="rId14"/>
    <sheet name="обдан.читлук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3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4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<sst xmlns="http://schemas.openxmlformats.org/spreadsheetml/2006/main" count="1291" uniqueCount="120">
  <si>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</si>
  <si>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</si>
  <si>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</si>
  <si>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</si>
  <si>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</si>
  <si>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</si>
  <si>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</si>
  <si>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</si>
  <si>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</si>
  <si>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</si>
  <si>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</si>
  <si>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</si>
  <si>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</si>
  <si>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</si>
  <si>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</si>
  <si>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</si>
  <si>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</si>
  <si>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</si>
  <si>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</si>
  <si>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</si>
  <si>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</si>
  <si>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</si>
  <si>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</si>
  <si>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</si>
  <si>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</si>
  <si>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</si>
  <si>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</si>
  <si>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</si>
  <si>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</si>
  <si>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</si>
  <si>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</si>
  <si>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</si>
  <si>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</si>
  <si>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</si>
  <si>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</si>
  <si>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</si>
  <si>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</si>
  <si>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</si>
  <si>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</si>
  <si>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</si>
  <si>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</si>
  <si>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</si>
  <si>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</si>
  <si>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</si>
  <si>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</si>
  <si>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</si>
  <si>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</si>
  <si>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</si>
  <si>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</si>
  <si>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</si>
  <si>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</si>
  <si>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</si>
  <si>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</si>
  <si>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</si>
  <si>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</si>
  <si>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</si>
  <si>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</si>
  <si>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</si>
  <si>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</si>
  <si>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</si>
  <si>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</si>
  <si>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</si>
  <si>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</si>
  <si>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</si>
  <si>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</si>
  <si>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</si>
  <si>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</si>
  <si>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</si>
  <si>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</si>
  <si>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</si>
  <si>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</si>
  <si>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</si>
  <si>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</si>
  <si>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</si>
  <si>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</si>
  <si>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</si>
  <si>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</si>
  <si>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</si>
  <si>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</si>
  <si>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</si>
  <si>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</si>
  <si>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</si>
  <si>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</si>
  <si>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</si>
  <si>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</si>
  <si>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</si>
  <si>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</si>
  <si>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</si>
  <si>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</si>
  <si>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</si>
  <si>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</si>
  <si>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</si>
  <si>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</si>
  <si>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</si>
  <si>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</si>
  <si>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</si>
  <si>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</si>
  <si>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</si>
  <si>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</si>
  <si>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</si>
  <si>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</si>
  <si>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</si>
  <si>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</si>
  <si>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</si>
  <si>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</si>
  <si>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</si>
  <si>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</si>
  <si>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</si>
  <si>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</si>
  <si>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</si>
  <si>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</si>
  <si>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</si>
  <si>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</si>
  <si>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</si>
  <si>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</si>
  <si>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</si>
  <si>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</si>
  <si>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</si>
  <si>
    <t>ДИРЕКТОР</t>
  </si>
  <si>
    <t>Весна Живковић, спец.струковни васпитач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</si>
</sst>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4" fontId="10" fillId="0" borderId="10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4" fontId="2" fillId="0" borderId="89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50" workbookViewId="0" topLeftCell="A19">
      <selection activeCell="P15" sqref="P15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4.25" customHeight="1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4.25" customHeight="1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4.25" customHeight="1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4.25" customHeight="1" thickBot="1">
      <c r="A10" s="251"/>
      <c r="B10" s="264"/>
      <c r="C10" s="265"/>
      <c r="D10" s="248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55" t="s">
        <v>16</v>
      </c>
      <c r="B11" s="99" t="s">
        <v>95</v>
      </c>
      <c r="C11" s="91">
        <f>4320+869</f>
        <v>5189</v>
      </c>
      <c r="D11" s="92">
        <f>5.25+2.599+0.093</f>
        <v>7.942</v>
      </c>
      <c r="E11" s="262">
        <f>343+193</f>
        <v>536</v>
      </c>
      <c r="F11" s="247">
        <v>22.89</v>
      </c>
      <c r="G11" s="261">
        <f>950285.4/12.33</f>
        <v>77070.99756690998</v>
      </c>
      <c r="H11" s="237">
        <v>12.33</v>
      </c>
      <c r="I11" s="7"/>
      <c r="J11" s="8"/>
      <c r="K11" s="7"/>
      <c r="L11" s="8"/>
      <c r="M11" s="7"/>
      <c r="N11" s="8"/>
    </row>
    <row r="12" spans="1:14" ht="14.25" customHeight="1">
      <c r="A12" s="228"/>
      <c r="B12" s="102" t="s">
        <v>113</v>
      </c>
      <c r="C12" s="90">
        <v>34.5</v>
      </c>
      <c r="D12" s="93">
        <v>45.412</v>
      </c>
      <c r="E12" s="224"/>
      <c r="F12" s="226"/>
      <c r="G12" s="230"/>
      <c r="H12" s="232"/>
      <c r="I12" s="7"/>
      <c r="J12" s="8"/>
      <c r="K12" s="7"/>
      <c r="L12" s="8"/>
      <c r="M12" s="7"/>
      <c r="N12" s="8"/>
    </row>
    <row r="13" spans="1:14" ht="14.25" customHeight="1">
      <c r="A13" s="227" t="s">
        <v>17</v>
      </c>
      <c r="B13" s="104" t="s">
        <v>95</v>
      </c>
      <c r="C13" s="142">
        <f>4520+746</f>
        <v>5266</v>
      </c>
      <c r="D13" s="94">
        <f>5.25+2.599+0.093</f>
        <v>7.942</v>
      </c>
      <c r="E13" s="223">
        <f>250+150</f>
        <v>400</v>
      </c>
      <c r="F13" s="225">
        <v>22.89</v>
      </c>
      <c r="G13" s="229">
        <f>1006645.86/1.1/12.33</f>
        <v>74219.99999999999</v>
      </c>
      <c r="H13" s="231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28"/>
      <c r="B14" s="102" t="s">
        <v>113</v>
      </c>
      <c r="C14" s="90">
        <v>34.5</v>
      </c>
      <c r="D14" s="94">
        <v>45.412</v>
      </c>
      <c r="E14" s="224"/>
      <c r="F14" s="226"/>
      <c r="G14" s="230"/>
      <c r="H14" s="232"/>
      <c r="I14" s="21"/>
      <c r="J14" s="22"/>
      <c r="K14" s="21"/>
      <c r="L14" s="22"/>
      <c r="M14" s="21"/>
      <c r="N14" s="22"/>
    </row>
    <row r="15" spans="1:14" ht="14.25" customHeight="1">
      <c r="A15" s="227" t="s">
        <v>18</v>
      </c>
      <c r="B15" s="106" t="s">
        <v>95</v>
      </c>
      <c r="C15" s="142">
        <f>5320+815</f>
        <v>6135</v>
      </c>
      <c r="D15" s="92">
        <f>5.25+2.599+0.093</f>
        <v>7.942</v>
      </c>
      <c r="E15" s="223">
        <f>172+247</f>
        <v>419</v>
      </c>
      <c r="F15" s="225">
        <v>22.89</v>
      </c>
      <c r="G15" s="229">
        <f>910470.6/1.1/12.33</f>
        <v>67128.99800928998</v>
      </c>
      <c r="H15" s="231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28"/>
      <c r="B16" s="102" t="s">
        <v>113</v>
      </c>
      <c r="C16" s="90">
        <f>17.25*2</f>
        <v>34.5</v>
      </c>
      <c r="D16" s="93">
        <v>45.412</v>
      </c>
      <c r="E16" s="224"/>
      <c r="F16" s="226"/>
      <c r="G16" s="230"/>
      <c r="H16" s="232"/>
      <c r="I16" s="21"/>
      <c r="J16" s="22"/>
      <c r="K16" s="21"/>
      <c r="L16" s="22"/>
      <c r="M16" s="21"/>
      <c r="N16" s="22"/>
    </row>
    <row r="17" spans="1:14" ht="14.25" customHeight="1">
      <c r="A17" s="227" t="s">
        <v>19</v>
      </c>
      <c r="B17" s="106" t="s">
        <v>95</v>
      </c>
      <c r="C17" s="142">
        <f>4440+819</f>
        <v>5259</v>
      </c>
      <c r="D17" s="95">
        <f>5.25+2.599+0.093</f>
        <v>7.942</v>
      </c>
      <c r="E17" s="223">
        <f>183+117</f>
        <v>300</v>
      </c>
      <c r="F17" s="225">
        <f>19.95+5.81</f>
        <v>25.759999999999998</v>
      </c>
      <c r="G17" s="229">
        <f>425145.82/1.1/12.33</f>
        <v>31346.001622060012</v>
      </c>
      <c r="H17" s="231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28"/>
      <c r="B18" s="102" t="s">
        <v>113</v>
      </c>
      <c r="C18" s="90">
        <v>34.5</v>
      </c>
      <c r="D18" s="93">
        <v>45.412</v>
      </c>
      <c r="E18" s="224"/>
      <c r="F18" s="226"/>
      <c r="G18" s="230"/>
      <c r="H18" s="232"/>
      <c r="I18" s="21"/>
      <c r="J18" s="22"/>
      <c r="K18" s="21"/>
      <c r="L18" s="22"/>
      <c r="M18" s="21"/>
      <c r="N18" s="22"/>
    </row>
    <row r="19" spans="1:14" ht="14.25" customHeight="1">
      <c r="A19" s="227" t="s">
        <v>20</v>
      </c>
      <c r="B19" s="106" t="s">
        <v>95</v>
      </c>
      <c r="C19" s="142">
        <f>3440+641</f>
        <v>4081</v>
      </c>
      <c r="D19" s="95">
        <f>5.25+2.599+0.093</f>
        <v>7.942</v>
      </c>
      <c r="E19" s="223">
        <f>227+73</f>
        <v>300</v>
      </c>
      <c r="F19" s="225">
        <v>25.76</v>
      </c>
      <c r="G19" s="229">
        <f>0</f>
        <v>0</v>
      </c>
      <c r="H19" s="231">
        <v>0</v>
      </c>
      <c r="I19" s="14"/>
      <c r="J19" s="15"/>
      <c r="K19" s="14"/>
      <c r="L19" s="15"/>
      <c r="M19" s="14"/>
      <c r="N19" s="15"/>
    </row>
    <row r="20" spans="1:14" ht="14.25" customHeight="1">
      <c r="A20" s="228"/>
      <c r="B20" s="102" t="s">
        <v>113</v>
      </c>
      <c r="C20" s="90">
        <v>34.5</v>
      </c>
      <c r="D20" s="93">
        <v>45.412</v>
      </c>
      <c r="E20" s="224"/>
      <c r="F20" s="226"/>
      <c r="G20" s="230"/>
      <c r="H20" s="232"/>
      <c r="I20" s="21"/>
      <c r="J20" s="22"/>
      <c r="K20" s="21"/>
      <c r="L20" s="22"/>
      <c r="M20" s="21"/>
      <c r="N20" s="22"/>
    </row>
    <row r="21" spans="1:14" ht="14.25" customHeight="1">
      <c r="A21" s="227" t="s">
        <v>69</v>
      </c>
      <c r="B21" s="106" t="s">
        <v>95</v>
      </c>
      <c r="C21" s="142">
        <f>3360+710</f>
        <v>4070</v>
      </c>
      <c r="D21" s="95">
        <v>7.942</v>
      </c>
      <c r="E21" s="223">
        <f>193+49</f>
        <v>242</v>
      </c>
      <c r="F21" s="225">
        <f>19.95+5.81</f>
        <v>25.759999999999998</v>
      </c>
      <c r="G21" s="229">
        <v>0</v>
      </c>
      <c r="H21" s="231">
        <v>0</v>
      </c>
      <c r="I21" s="14"/>
      <c r="J21" s="15"/>
      <c r="K21" s="14"/>
      <c r="L21" s="15"/>
      <c r="M21" s="14"/>
      <c r="N21" s="15"/>
    </row>
    <row r="22" spans="1:14" ht="14.25" customHeight="1">
      <c r="A22" s="228"/>
      <c r="B22" s="102" t="s">
        <v>113</v>
      </c>
      <c r="C22" s="90">
        <v>34.5</v>
      </c>
      <c r="D22" s="93">
        <v>45.412</v>
      </c>
      <c r="E22" s="224"/>
      <c r="F22" s="226"/>
      <c r="G22" s="230"/>
      <c r="H22" s="232"/>
      <c r="I22" s="21"/>
      <c r="J22" s="22"/>
      <c r="K22" s="21"/>
      <c r="L22" s="22"/>
      <c r="M22" s="21"/>
      <c r="N22" s="22"/>
    </row>
    <row r="23" spans="1:14" ht="14.25" customHeight="1">
      <c r="A23" s="227" t="s">
        <v>70</v>
      </c>
      <c r="B23" s="106" t="s">
        <v>95</v>
      </c>
      <c r="C23" s="142">
        <f>3160+946</f>
        <v>4106</v>
      </c>
      <c r="D23" s="95">
        <f>5.25+2.599+0.093</f>
        <v>7.942</v>
      </c>
      <c r="E23" s="223">
        <f>212+41</f>
        <v>253</v>
      </c>
      <c r="F23" s="225">
        <f>19.95+5.81</f>
        <v>25.759999999999998</v>
      </c>
      <c r="G23" s="229">
        <v>0</v>
      </c>
      <c r="H23" s="225">
        <v>0</v>
      </c>
      <c r="I23" s="14"/>
      <c r="J23" s="15"/>
      <c r="K23" s="14"/>
      <c r="L23" s="15"/>
      <c r="M23" s="14"/>
      <c r="N23" s="15"/>
    </row>
    <row r="24" spans="1:14" ht="14.25" customHeight="1">
      <c r="A24" s="228"/>
      <c r="B24" s="102" t="s">
        <v>96</v>
      </c>
      <c r="C24" s="90">
        <v>34.5</v>
      </c>
      <c r="D24" s="93">
        <v>45.412</v>
      </c>
      <c r="E24" s="224"/>
      <c r="F24" s="226"/>
      <c r="G24" s="230"/>
      <c r="H24" s="226"/>
      <c r="I24" s="21"/>
      <c r="J24" s="22"/>
      <c r="K24" s="21"/>
      <c r="L24" s="22"/>
      <c r="M24" s="21"/>
      <c r="N24" s="22"/>
    </row>
    <row r="25" spans="1:14" ht="14.25" customHeight="1">
      <c r="A25" s="227" t="s">
        <v>22</v>
      </c>
      <c r="B25" s="106" t="s">
        <v>95</v>
      </c>
      <c r="C25" s="142">
        <f>3120+759</f>
        <v>3879</v>
      </c>
      <c r="D25" s="95">
        <f>5.37+2.599+0.093</f>
        <v>8.062000000000001</v>
      </c>
      <c r="E25" s="223">
        <f>181+9</f>
        <v>190</v>
      </c>
      <c r="F25" s="225">
        <f>19.95+5.81</f>
        <v>25.759999999999998</v>
      </c>
      <c r="G25" s="229">
        <v>0</v>
      </c>
      <c r="H25" s="225">
        <v>0</v>
      </c>
      <c r="I25" s="21"/>
      <c r="J25" s="22"/>
      <c r="K25" s="21"/>
      <c r="L25" s="22"/>
      <c r="M25" s="21"/>
      <c r="N25" s="22"/>
    </row>
    <row r="26" spans="1:14" ht="14.25" customHeight="1">
      <c r="A26" s="228"/>
      <c r="B26" s="102" t="s">
        <v>96</v>
      </c>
      <c r="C26" s="90">
        <v>34.5</v>
      </c>
      <c r="D26" s="93">
        <v>45.412</v>
      </c>
      <c r="E26" s="224"/>
      <c r="F26" s="226"/>
      <c r="G26" s="230"/>
      <c r="H26" s="226"/>
      <c r="I26" s="4"/>
      <c r="J26" s="5"/>
      <c r="K26" s="4"/>
      <c r="L26" s="5"/>
      <c r="M26" s="4"/>
      <c r="N26" s="5"/>
    </row>
    <row r="27" spans="1:14" ht="14.25" customHeight="1">
      <c r="A27" s="227" t="s">
        <v>23</v>
      </c>
      <c r="B27" s="106" t="s">
        <v>95</v>
      </c>
      <c r="C27" s="143">
        <f>4480+918</f>
        <v>5398</v>
      </c>
      <c r="D27" s="95">
        <f>5.37+2.599+0.093</f>
        <v>8.062000000000001</v>
      </c>
      <c r="E27" s="223">
        <f>224+79</f>
        <v>303</v>
      </c>
      <c r="F27" s="225">
        <v>25.76</v>
      </c>
      <c r="G27" s="229">
        <v>0</v>
      </c>
      <c r="H27" s="225">
        <v>0</v>
      </c>
      <c r="I27" s="4"/>
      <c r="J27" s="5"/>
      <c r="K27" s="4"/>
      <c r="L27" s="5"/>
      <c r="M27" s="4"/>
      <c r="N27" s="5"/>
    </row>
    <row r="28" spans="1:14" ht="14.25" customHeight="1">
      <c r="A28" s="228"/>
      <c r="B28" s="102" t="s">
        <v>96</v>
      </c>
      <c r="C28" s="90">
        <v>34.5</v>
      </c>
      <c r="D28" s="93">
        <v>45.412</v>
      </c>
      <c r="E28" s="224"/>
      <c r="F28" s="226"/>
      <c r="G28" s="230"/>
      <c r="H28" s="226"/>
      <c r="I28" s="4"/>
      <c r="J28" s="5"/>
      <c r="K28" s="4"/>
      <c r="L28" s="5"/>
      <c r="M28" s="4"/>
      <c r="N28" s="5"/>
    </row>
    <row r="29" spans="1:14" ht="14.25" customHeight="1">
      <c r="A29" s="227" t="s">
        <v>24</v>
      </c>
      <c r="B29" s="106" t="s">
        <v>95</v>
      </c>
      <c r="C29" s="143">
        <f>5440+1361</f>
        <v>6801</v>
      </c>
      <c r="D29" s="95">
        <f>5.37+2.599+0.093</f>
        <v>8.062000000000001</v>
      </c>
      <c r="E29" s="223">
        <f>202+59</f>
        <v>261</v>
      </c>
      <c r="F29" s="225">
        <f>19.95+5.81</f>
        <v>25.759999999999998</v>
      </c>
      <c r="G29" s="229">
        <f>375261.04/1.1/12.33</f>
        <v>27667.996755879965</v>
      </c>
      <c r="H29" s="225">
        <v>12.33</v>
      </c>
      <c r="I29" s="4"/>
      <c r="J29" s="5"/>
      <c r="K29" s="4"/>
      <c r="L29" s="5"/>
      <c r="M29" s="4"/>
      <c r="N29" s="5"/>
    </row>
    <row r="30" spans="1:14" ht="14.25" customHeight="1">
      <c r="A30" s="228"/>
      <c r="B30" s="102" t="s">
        <v>96</v>
      </c>
      <c r="C30" s="90">
        <v>34.5</v>
      </c>
      <c r="D30" s="93">
        <v>45.412</v>
      </c>
      <c r="E30" s="224"/>
      <c r="F30" s="226"/>
      <c r="G30" s="230"/>
      <c r="H30" s="226"/>
      <c r="I30" s="4"/>
      <c r="J30" s="5"/>
      <c r="K30" s="4"/>
      <c r="L30" s="5"/>
      <c r="M30" s="4"/>
      <c r="N30" s="5"/>
    </row>
    <row r="31" spans="1:14" ht="14.25" customHeight="1">
      <c r="A31" s="227" t="s">
        <v>25</v>
      </c>
      <c r="B31" s="106" t="s">
        <v>95</v>
      </c>
      <c r="C31" s="143">
        <f>4400+956</f>
        <v>5356</v>
      </c>
      <c r="D31" s="95">
        <f>5.37+2.599+0.093</f>
        <v>8.062000000000001</v>
      </c>
      <c r="E31" s="223">
        <f>163+42</f>
        <v>205</v>
      </c>
      <c r="F31" s="225">
        <v>25.76</v>
      </c>
      <c r="G31" s="229">
        <f>1096704.18/1.1/12.33</f>
        <v>80859.99999999999</v>
      </c>
      <c r="H31" s="225">
        <v>12.33</v>
      </c>
      <c r="I31" s="4"/>
      <c r="J31" s="5"/>
      <c r="K31" s="4"/>
      <c r="L31" s="5"/>
      <c r="M31" s="4"/>
      <c r="N31" s="5"/>
    </row>
    <row r="32" spans="1:14" ht="14.25" customHeight="1">
      <c r="A32" s="228"/>
      <c r="B32" s="102" t="s">
        <v>96</v>
      </c>
      <c r="C32" s="90">
        <v>34.5</v>
      </c>
      <c r="D32" s="93">
        <v>45.412</v>
      </c>
      <c r="E32" s="224"/>
      <c r="F32" s="226"/>
      <c r="G32" s="230"/>
      <c r="H32" s="226"/>
      <c r="I32" s="4"/>
      <c r="J32" s="5"/>
      <c r="K32" s="4"/>
      <c r="L32" s="5"/>
      <c r="M32" s="4"/>
      <c r="N32" s="5"/>
    </row>
    <row r="33" spans="1:14" ht="14.25" customHeight="1">
      <c r="A33" s="227" t="s">
        <v>26</v>
      </c>
      <c r="B33" s="106" t="s">
        <v>95</v>
      </c>
      <c r="C33" s="143">
        <f>5400+1258</f>
        <v>6658</v>
      </c>
      <c r="D33" s="95">
        <f>5.37+2.599+0.093</f>
        <v>8.062000000000001</v>
      </c>
      <c r="E33" s="223">
        <f>224+60</f>
        <v>284</v>
      </c>
      <c r="F33" s="225">
        <v>25.76</v>
      </c>
      <c r="G33" s="229">
        <f>1302102.23/1.1/12.33</f>
        <v>96003.99837793996</v>
      </c>
      <c r="H33" s="225">
        <v>12.33</v>
      </c>
      <c r="I33" s="14"/>
      <c r="J33" s="15"/>
      <c r="K33" s="14"/>
      <c r="L33" s="15"/>
      <c r="M33" s="14"/>
      <c r="N33" s="15"/>
    </row>
    <row r="34" spans="1:14" ht="14.25" customHeight="1" thickBot="1">
      <c r="A34" s="266"/>
      <c r="B34" s="108" t="s">
        <v>96</v>
      </c>
      <c r="C34" s="90">
        <v>34.5</v>
      </c>
      <c r="D34" s="93">
        <v>45.412</v>
      </c>
      <c r="E34" s="267"/>
      <c r="F34" s="254"/>
      <c r="G34" s="268"/>
      <c r="H34" s="254"/>
      <c r="I34" s="2"/>
      <c r="J34" s="3"/>
      <c r="K34" s="2"/>
      <c r="L34" s="3"/>
      <c r="M34" s="2"/>
      <c r="N34" s="3"/>
    </row>
    <row r="35" ht="14.25" customHeight="1" thickTop="1"/>
    <row r="36" spans="1:11" ht="14.25" customHeight="1">
      <c r="A36" s="256" t="s">
        <v>32</v>
      </c>
      <c r="B36" s="256"/>
      <c r="C36" s="256"/>
      <c r="D36" s="257"/>
      <c r="E36" s="33"/>
      <c r="F36" s="33"/>
      <c r="K36" s="1" t="s">
        <v>118</v>
      </c>
    </row>
    <row r="37" spans="1:11" ht="14.25" customHeight="1">
      <c r="A37" s="33"/>
      <c r="B37" s="32" t="s">
        <v>33</v>
      </c>
      <c r="C37" s="32"/>
      <c r="D37" s="33"/>
      <c r="E37" s="33"/>
      <c r="F37" s="33"/>
      <c r="K37" s="1" t="s">
        <v>119</v>
      </c>
    </row>
    <row r="38" spans="1:6" ht="14.25" customHeight="1">
      <c r="A38" s="33"/>
      <c r="B38" s="256" t="s">
        <v>35</v>
      </c>
      <c r="C38" s="256"/>
      <c r="D38" s="256"/>
      <c r="E38" s="257"/>
      <c r="F38" s="33"/>
    </row>
    <row r="39" spans="1:6" ht="14.25" customHeight="1">
      <c r="A39" s="33"/>
      <c r="B39" s="256" t="s">
        <v>34</v>
      </c>
      <c r="C39" s="256"/>
      <c r="D39" s="256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B9:C10"/>
    <mergeCell ref="F13:F14"/>
    <mergeCell ref="E13:E14"/>
    <mergeCell ref="H11:H12"/>
    <mergeCell ref="I9:J9"/>
    <mergeCell ref="A19:A20"/>
    <mergeCell ref="G19:G20"/>
    <mergeCell ref="A13:A14"/>
    <mergeCell ref="A11:A12"/>
    <mergeCell ref="F11:F12"/>
    <mergeCell ref="G15:G16"/>
    <mergeCell ref="G13:G14"/>
    <mergeCell ref="H13:H14"/>
    <mergeCell ref="H15:H16"/>
    <mergeCell ref="K9:L9"/>
    <mergeCell ref="G9:H9"/>
    <mergeCell ref="H21:H22"/>
    <mergeCell ref="A21:A22"/>
    <mergeCell ref="E21:E22"/>
    <mergeCell ref="F21:F22"/>
    <mergeCell ref="G21:G22"/>
    <mergeCell ref="H17:H18"/>
    <mergeCell ref="A17:A18"/>
    <mergeCell ref="E17:E18"/>
    <mergeCell ref="F17:F18"/>
    <mergeCell ref="G17:G18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4">
      <selection activeCell="J52" activeCellId="1" sqref="I48:M49 J52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99</v>
      </c>
      <c r="J9" s="234"/>
      <c r="K9" s="233" t="s">
        <v>13</v>
      </c>
      <c r="L9" s="424"/>
      <c r="M9" s="425" t="s">
        <v>14</v>
      </c>
      <c r="N9" s="426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15" t="s">
        <v>9</v>
      </c>
      <c r="I10" s="133" t="s">
        <v>100</v>
      </c>
      <c r="J10" s="15" t="s">
        <v>9</v>
      </c>
      <c r="K10" s="2" t="s">
        <v>10</v>
      </c>
      <c r="L10" s="182" t="s">
        <v>9</v>
      </c>
      <c r="M10" s="183" t="s">
        <v>30</v>
      </c>
      <c r="N10" s="184" t="s">
        <v>9</v>
      </c>
    </row>
    <row r="11" spans="1:14" ht="15.75" customHeight="1" thickTop="1">
      <c r="A11" s="399" t="s">
        <v>16</v>
      </c>
      <c r="B11" s="61" t="s">
        <v>95</v>
      </c>
      <c r="C11" s="87">
        <v>3870</v>
      </c>
      <c r="D11" s="6">
        <f>5.91+2.871+0.093</f>
        <v>8.874</v>
      </c>
      <c r="E11" s="252">
        <v>111</v>
      </c>
      <c r="F11" s="432">
        <v>22.89</v>
      </c>
      <c r="G11" s="134"/>
      <c r="H11" s="135"/>
      <c r="I11" s="427">
        <v>8000</v>
      </c>
      <c r="J11" s="426">
        <v>138.7</v>
      </c>
      <c r="K11" s="85"/>
      <c r="L11" s="180"/>
      <c r="M11" s="84"/>
      <c r="N11" s="129"/>
    </row>
    <row r="12" spans="1:14" ht="15" customHeight="1">
      <c r="A12" s="370"/>
      <c r="B12" s="65" t="s">
        <v>96</v>
      </c>
      <c r="C12" s="115">
        <v>990</v>
      </c>
      <c r="D12" s="8">
        <f>3.94+0.743+0.093</f>
        <v>4.776</v>
      </c>
      <c r="E12" s="383"/>
      <c r="F12" s="368"/>
      <c r="G12" s="136"/>
      <c r="H12" s="137"/>
      <c r="I12" s="428"/>
      <c r="J12" s="429"/>
      <c r="K12" s="85"/>
      <c r="L12" s="180"/>
      <c r="M12" s="84"/>
      <c r="N12" s="129"/>
    </row>
    <row r="13" spans="1:14" ht="15" customHeight="1" thickBot="1">
      <c r="A13" s="370"/>
      <c r="B13" s="65" t="s">
        <v>112</v>
      </c>
      <c r="C13" s="145">
        <v>17.25</v>
      </c>
      <c r="D13" s="8">
        <v>45.412</v>
      </c>
      <c r="E13" s="383"/>
      <c r="F13" s="368"/>
      <c r="G13" s="136"/>
      <c r="H13" s="137"/>
      <c r="I13" s="428"/>
      <c r="J13" s="429"/>
      <c r="K13" s="85"/>
      <c r="L13" s="180"/>
      <c r="M13" s="84"/>
      <c r="N13" s="129"/>
    </row>
    <row r="14" spans="1:14" ht="15" customHeight="1" thickTop="1">
      <c r="A14" s="369" t="s">
        <v>17</v>
      </c>
      <c r="B14" s="65" t="s">
        <v>95</v>
      </c>
      <c r="C14" s="87">
        <v>3690</v>
      </c>
      <c r="D14" s="6">
        <f>5.91+2.871+0.093</f>
        <v>8.874</v>
      </c>
      <c r="E14" s="382">
        <f>73</f>
        <v>73</v>
      </c>
      <c r="F14" s="422">
        <v>22.89</v>
      </c>
      <c r="G14" s="138"/>
      <c r="H14" s="139"/>
      <c r="I14" s="430"/>
      <c r="J14" s="413"/>
      <c r="K14" s="76"/>
      <c r="L14" s="179"/>
      <c r="M14" s="83"/>
      <c r="N14" s="123"/>
    </row>
    <row r="15" spans="1:14" ht="15" customHeight="1">
      <c r="A15" s="370"/>
      <c r="B15" s="65" t="s">
        <v>96</v>
      </c>
      <c r="C15" s="115">
        <v>720</v>
      </c>
      <c r="D15" s="8">
        <f>3.94+0.743+0.093</f>
        <v>4.776</v>
      </c>
      <c r="E15" s="383"/>
      <c r="F15" s="423"/>
      <c r="G15" s="136"/>
      <c r="H15" s="137"/>
      <c r="I15" s="431"/>
      <c r="J15" s="414"/>
      <c r="K15" s="85"/>
      <c r="L15" s="180"/>
      <c r="M15" s="84"/>
      <c r="N15" s="129"/>
    </row>
    <row r="16" spans="1:14" ht="15" customHeight="1" thickBot="1">
      <c r="A16" s="370"/>
      <c r="B16" s="65" t="s">
        <v>112</v>
      </c>
      <c r="C16" s="145">
        <v>17.25</v>
      </c>
      <c r="D16" s="8">
        <v>45.412</v>
      </c>
      <c r="E16" s="383"/>
      <c r="F16" s="423"/>
      <c r="G16" s="136"/>
      <c r="H16" s="137"/>
      <c r="I16" s="431"/>
      <c r="J16" s="414"/>
      <c r="K16" s="85"/>
      <c r="L16" s="180"/>
      <c r="M16" s="84"/>
      <c r="N16" s="129"/>
    </row>
    <row r="17" spans="1:14" ht="15" customHeight="1" thickTop="1">
      <c r="A17" s="369" t="s">
        <v>18</v>
      </c>
      <c r="B17" s="69" t="s">
        <v>95</v>
      </c>
      <c r="C17" s="87">
        <v>3960</v>
      </c>
      <c r="D17" s="6">
        <f>5.91+2.871+0.093</f>
        <v>8.874</v>
      </c>
      <c r="E17" s="382">
        <v>92</v>
      </c>
      <c r="F17" s="422">
        <v>22.89</v>
      </c>
      <c r="G17" s="138"/>
      <c r="H17" s="139"/>
      <c r="I17" s="430">
        <f>5000+3004</f>
        <v>8004</v>
      </c>
      <c r="J17" s="413">
        <v>138.7</v>
      </c>
      <c r="K17" s="76"/>
      <c r="L17" s="179"/>
      <c r="M17" s="83"/>
      <c r="N17" s="123"/>
    </row>
    <row r="18" spans="1:14" ht="15" customHeight="1">
      <c r="A18" s="370"/>
      <c r="B18" s="65" t="s">
        <v>96</v>
      </c>
      <c r="C18" s="115">
        <v>900</v>
      </c>
      <c r="D18" s="8">
        <f>3.94+0.743+0.093</f>
        <v>4.776</v>
      </c>
      <c r="E18" s="383"/>
      <c r="F18" s="423"/>
      <c r="G18" s="136"/>
      <c r="H18" s="137"/>
      <c r="I18" s="431"/>
      <c r="J18" s="414"/>
      <c r="K18" s="85"/>
      <c r="L18" s="180"/>
      <c r="M18" s="84"/>
      <c r="N18" s="129"/>
    </row>
    <row r="19" spans="1:14" ht="15" customHeight="1" thickBot="1">
      <c r="A19" s="370"/>
      <c r="B19" s="65" t="s">
        <v>112</v>
      </c>
      <c r="C19" s="145">
        <v>17.25</v>
      </c>
      <c r="D19" s="8">
        <v>45.412</v>
      </c>
      <c r="E19" s="383"/>
      <c r="F19" s="423"/>
      <c r="G19" s="136"/>
      <c r="H19" s="137"/>
      <c r="I19" s="431"/>
      <c r="J19" s="414"/>
      <c r="K19" s="85"/>
      <c r="L19" s="180"/>
      <c r="M19" s="84"/>
      <c r="N19" s="129"/>
    </row>
    <row r="20" spans="1:14" ht="13.5" thickTop="1">
      <c r="A20" s="369" t="s">
        <v>19</v>
      </c>
      <c r="B20" s="69" t="s">
        <v>95</v>
      </c>
      <c r="C20" s="87">
        <v>3330</v>
      </c>
      <c r="D20" s="6">
        <f>5.91+2.871+0.093</f>
        <v>8.874</v>
      </c>
      <c r="E20" s="382">
        <v>81</v>
      </c>
      <c r="F20" s="422">
        <v>25.76</v>
      </c>
      <c r="G20" s="138"/>
      <c r="H20" s="139"/>
      <c r="I20" s="430">
        <v>2000</v>
      </c>
      <c r="J20" s="413">
        <v>138.7</v>
      </c>
      <c r="K20" s="76"/>
      <c r="L20" s="179"/>
      <c r="M20" s="83"/>
      <c r="N20" s="123"/>
    </row>
    <row r="21" spans="1:14" ht="15" customHeight="1">
      <c r="A21" s="370"/>
      <c r="B21" s="65" t="s">
        <v>96</v>
      </c>
      <c r="C21" s="115">
        <v>870</v>
      </c>
      <c r="D21" s="8">
        <f>3.94+0.743+0.093</f>
        <v>4.776</v>
      </c>
      <c r="E21" s="383"/>
      <c r="F21" s="423"/>
      <c r="G21" s="136"/>
      <c r="H21" s="137"/>
      <c r="I21" s="431"/>
      <c r="J21" s="414"/>
      <c r="K21" s="85"/>
      <c r="L21" s="180"/>
      <c r="M21" s="84"/>
      <c r="N21" s="129"/>
    </row>
    <row r="22" spans="1:14" ht="15" customHeight="1" thickBot="1">
      <c r="A22" s="370"/>
      <c r="B22" s="65" t="s">
        <v>112</v>
      </c>
      <c r="C22" s="145">
        <v>17.25</v>
      </c>
      <c r="D22" s="8">
        <v>45.412</v>
      </c>
      <c r="E22" s="383"/>
      <c r="F22" s="423"/>
      <c r="G22" s="136"/>
      <c r="H22" s="137"/>
      <c r="I22" s="431"/>
      <c r="J22" s="414"/>
      <c r="K22" s="85"/>
      <c r="L22" s="180"/>
      <c r="M22" s="84"/>
      <c r="N22" s="129"/>
    </row>
    <row r="23" spans="1:14" ht="13.5" thickTop="1">
      <c r="A23" s="369" t="s">
        <v>20</v>
      </c>
      <c r="B23" s="69" t="s">
        <v>95</v>
      </c>
      <c r="C23" s="87">
        <v>2490</v>
      </c>
      <c r="D23" s="6">
        <f>5.91+2.871+0.093</f>
        <v>8.874</v>
      </c>
      <c r="E23" s="382">
        <v>81</v>
      </c>
      <c r="F23" s="422">
        <v>25.76</v>
      </c>
      <c r="G23" s="138"/>
      <c r="H23" s="139"/>
      <c r="I23" s="83"/>
      <c r="J23" s="123"/>
      <c r="K23" s="76"/>
      <c r="L23" s="179"/>
      <c r="M23" s="83"/>
      <c r="N23" s="123"/>
    </row>
    <row r="24" spans="1:14" ht="15" customHeight="1">
      <c r="A24" s="370"/>
      <c r="B24" s="65" t="s">
        <v>96</v>
      </c>
      <c r="C24" s="115">
        <v>480</v>
      </c>
      <c r="D24" s="8">
        <f>3.94+0.743+0.093</f>
        <v>4.776</v>
      </c>
      <c r="E24" s="383"/>
      <c r="F24" s="423"/>
      <c r="G24" s="136"/>
      <c r="H24" s="137"/>
      <c r="I24" s="84"/>
      <c r="J24" s="129"/>
      <c r="K24" s="85"/>
      <c r="L24" s="180"/>
      <c r="M24" s="84"/>
      <c r="N24" s="129"/>
    </row>
    <row r="25" spans="1:14" ht="15" customHeight="1" thickBot="1">
      <c r="A25" s="370"/>
      <c r="B25" s="65" t="s">
        <v>112</v>
      </c>
      <c r="C25" s="145">
        <v>17.25</v>
      </c>
      <c r="D25" s="8">
        <v>45.412</v>
      </c>
      <c r="E25" s="383"/>
      <c r="F25" s="423"/>
      <c r="G25" s="136"/>
      <c r="H25" s="137"/>
      <c r="I25" s="84"/>
      <c r="J25" s="129"/>
      <c r="K25" s="85"/>
      <c r="L25" s="180"/>
      <c r="M25" s="84"/>
      <c r="N25" s="129"/>
    </row>
    <row r="26" spans="1:14" ht="15" customHeight="1" thickTop="1">
      <c r="A26" s="369" t="s">
        <v>69</v>
      </c>
      <c r="B26" s="69" t="s">
        <v>95</v>
      </c>
      <c r="C26" s="87">
        <v>2670</v>
      </c>
      <c r="D26" s="6">
        <f>5.91+2.871+0.093</f>
        <v>8.874</v>
      </c>
      <c r="E26" s="382">
        <v>90</v>
      </c>
      <c r="F26" s="422">
        <v>25.76</v>
      </c>
      <c r="G26" s="138"/>
      <c r="H26" s="139"/>
      <c r="I26" s="83"/>
      <c r="J26" s="123"/>
      <c r="K26" s="76"/>
      <c r="L26" s="179"/>
      <c r="M26" s="83"/>
      <c r="N26" s="123"/>
    </row>
    <row r="27" spans="1:14" ht="15.75" customHeight="1">
      <c r="A27" s="370"/>
      <c r="B27" s="65" t="s">
        <v>96</v>
      </c>
      <c r="C27" s="115">
        <v>510</v>
      </c>
      <c r="D27" s="8">
        <f>3.94+0.743+0.093</f>
        <v>4.776</v>
      </c>
      <c r="E27" s="383"/>
      <c r="F27" s="423"/>
      <c r="G27" s="136"/>
      <c r="H27" s="137"/>
      <c r="I27" s="84"/>
      <c r="J27" s="129"/>
      <c r="K27" s="85"/>
      <c r="L27" s="180"/>
      <c r="M27" s="84"/>
      <c r="N27" s="129"/>
    </row>
    <row r="28" spans="1:14" ht="16.5" customHeight="1" thickBot="1">
      <c r="A28" s="370"/>
      <c r="B28" s="65" t="s">
        <v>112</v>
      </c>
      <c r="C28" s="145">
        <v>17.25</v>
      </c>
      <c r="D28" s="8">
        <v>45.412</v>
      </c>
      <c r="E28" s="383"/>
      <c r="F28" s="423"/>
      <c r="G28" s="136"/>
      <c r="H28" s="137"/>
      <c r="I28" s="84"/>
      <c r="J28" s="129"/>
      <c r="K28" s="85"/>
      <c r="L28" s="180"/>
      <c r="M28" s="84"/>
      <c r="N28" s="129"/>
    </row>
    <row r="29" spans="1:14" ht="13.5" thickTop="1">
      <c r="A29" s="369" t="s">
        <v>70</v>
      </c>
      <c r="B29" s="69" t="s">
        <v>95</v>
      </c>
      <c r="C29" s="87">
        <v>2610</v>
      </c>
      <c r="D29" s="6">
        <f>5.91+2.971+0.093</f>
        <v>8.974</v>
      </c>
      <c r="E29" s="382">
        <v>88</v>
      </c>
      <c r="F29" s="367">
        <v>25.76</v>
      </c>
      <c r="G29" s="153"/>
      <c r="H29" s="218"/>
      <c r="I29" s="76"/>
      <c r="J29" s="123"/>
      <c r="K29" s="76"/>
      <c r="L29" s="179"/>
      <c r="M29" s="83"/>
      <c r="N29" s="123"/>
    </row>
    <row r="30" spans="1:14" ht="15" customHeight="1">
      <c r="A30" s="370"/>
      <c r="B30" s="65" t="s">
        <v>96</v>
      </c>
      <c r="C30" s="115">
        <v>450</v>
      </c>
      <c r="D30" s="8">
        <f>3.94+0.743+0.093</f>
        <v>4.776</v>
      </c>
      <c r="E30" s="383"/>
      <c r="F30" s="368"/>
      <c r="G30" s="154"/>
      <c r="H30" s="219"/>
      <c r="I30" s="85"/>
      <c r="J30" s="129"/>
      <c r="K30" s="85"/>
      <c r="L30" s="180"/>
      <c r="M30" s="84"/>
      <c r="N30" s="129"/>
    </row>
    <row r="31" spans="1:14" ht="15" customHeight="1" thickBot="1">
      <c r="A31" s="370"/>
      <c r="B31" s="65" t="s">
        <v>112</v>
      </c>
      <c r="C31" s="145">
        <v>17.25</v>
      </c>
      <c r="D31" s="8">
        <v>45.412</v>
      </c>
      <c r="E31" s="383"/>
      <c r="F31" s="368"/>
      <c r="G31" s="154"/>
      <c r="H31" s="220"/>
      <c r="I31" s="85"/>
      <c r="J31" s="129"/>
      <c r="K31" s="85"/>
      <c r="L31" s="180"/>
      <c r="M31" s="84"/>
      <c r="N31" s="129"/>
    </row>
    <row r="32" spans="1:14" ht="13.5" thickTop="1">
      <c r="A32" s="369" t="s">
        <v>22</v>
      </c>
      <c r="B32" s="69" t="s">
        <v>95</v>
      </c>
      <c r="C32" s="87">
        <v>2160</v>
      </c>
      <c r="D32" s="6">
        <f>6.04+2.971+0.093</f>
        <v>9.104</v>
      </c>
      <c r="E32" s="382">
        <v>60</v>
      </c>
      <c r="F32" s="367">
        <v>25.76</v>
      </c>
      <c r="G32" s="415"/>
      <c r="H32" s="414"/>
      <c r="I32" s="415"/>
      <c r="J32" s="413"/>
      <c r="K32" s="223"/>
      <c r="L32" s="367"/>
      <c r="M32" s="415"/>
      <c r="N32" s="413"/>
    </row>
    <row r="33" spans="1:14" ht="15" customHeight="1">
      <c r="A33" s="370"/>
      <c r="B33" s="65" t="s">
        <v>96</v>
      </c>
      <c r="C33" s="115">
        <v>270</v>
      </c>
      <c r="D33" s="8">
        <f>4.03+0.743+0.093</f>
        <v>4.8660000000000005</v>
      </c>
      <c r="E33" s="383"/>
      <c r="F33" s="368"/>
      <c r="G33" s="416"/>
      <c r="H33" s="414"/>
      <c r="I33" s="416"/>
      <c r="J33" s="414"/>
      <c r="K33" s="265"/>
      <c r="L33" s="368"/>
      <c r="M33" s="416"/>
      <c r="N33" s="414"/>
    </row>
    <row r="34" spans="1:14" ht="15" customHeight="1" thickBot="1">
      <c r="A34" s="370"/>
      <c r="B34" s="65" t="s">
        <v>112</v>
      </c>
      <c r="C34" s="145">
        <v>17.25</v>
      </c>
      <c r="D34" s="8">
        <v>45.412</v>
      </c>
      <c r="E34" s="383"/>
      <c r="F34" s="368"/>
      <c r="G34" s="416"/>
      <c r="H34" s="414"/>
      <c r="I34" s="416"/>
      <c r="J34" s="414"/>
      <c r="K34" s="265"/>
      <c r="L34" s="368"/>
      <c r="M34" s="416"/>
      <c r="N34" s="414"/>
    </row>
    <row r="35" spans="1:14" ht="13.5" thickTop="1">
      <c r="A35" s="369" t="s">
        <v>23</v>
      </c>
      <c r="B35" s="69" t="s">
        <v>95</v>
      </c>
      <c r="C35" s="87">
        <v>2580</v>
      </c>
      <c r="D35" s="6">
        <f>6.04+2.971+0.093</f>
        <v>9.104</v>
      </c>
      <c r="E35" s="382">
        <v>60</v>
      </c>
      <c r="F35" s="367">
        <v>25.76</v>
      </c>
      <c r="G35" s="415"/>
      <c r="H35" s="413"/>
      <c r="I35" s="434">
        <v>2000</v>
      </c>
      <c r="J35" s="413">
        <v>138.7</v>
      </c>
      <c r="K35" s="223"/>
      <c r="L35" s="367"/>
      <c r="M35" s="415"/>
      <c r="N35" s="413"/>
    </row>
    <row r="36" spans="1:14" ht="15" customHeight="1">
      <c r="A36" s="370"/>
      <c r="B36" s="65" t="s">
        <v>96</v>
      </c>
      <c r="C36" s="115">
        <v>300</v>
      </c>
      <c r="D36" s="8">
        <f>4.03+0.743+0.093</f>
        <v>4.8660000000000005</v>
      </c>
      <c r="E36" s="383"/>
      <c r="F36" s="368"/>
      <c r="G36" s="416"/>
      <c r="H36" s="414"/>
      <c r="I36" s="435"/>
      <c r="J36" s="414"/>
      <c r="K36" s="265"/>
      <c r="L36" s="368"/>
      <c r="M36" s="416"/>
      <c r="N36" s="414"/>
    </row>
    <row r="37" spans="1:14" ht="15" customHeight="1" thickBot="1">
      <c r="A37" s="370"/>
      <c r="B37" s="65" t="s">
        <v>112</v>
      </c>
      <c r="C37" s="145">
        <v>17.25</v>
      </c>
      <c r="D37" s="8">
        <v>45.412</v>
      </c>
      <c r="E37" s="383"/>
      <c r="F37" s="368"/>
      <c r="G37" s="416"/>
      <c r="H37" s="414"/>
      <c r="I37" s="435"/>
      <c r="J37" s="414"/>
      <c r="K37" s="265"/>
      <c r="L37" s="368"/>
      <c r="M37" s="416"/>
      <c r="N37" s="414"/>
    </row>
    <row r="38" spans="1:14" ht="13.5" thickTop="1">
      <c r="A38" s="369" t="s">
        <v>24</v>
      </c>
      <c r="B38" s="173" t="s">
        <v>95</v>
      </c>
      <c r="C38" s="77">
        <v>3240</v>
      </c>
      <c r="D38" s="157">
        <f>6.04+2.971+0.093</f>
        <v>9.104</v>
      </c>
      <c r="E38" s="382">
        <f>55</f>
        <v>55</v>
      </c>
      <c r="F38" s="367">
        <v>25.76</v>
      </c>
      <c r="G38" s="415"/>
      <c r="H38" s="413"/>
      <c r="I38" s="410">
        <f>1998+3001</f>
        <v>4999</v>
      </c>
      <c r="J38" s="411">
        <v>128.16</v>
      </c>
      <c r="K38" s="223"/>
      <c r="L38" s="367"/>
      <c r="M38" s="415"/>
      <c r="N38" s="413"/>
    </row>
    <row r="39" spans="1:14" ht="15" customHeight="1">
      <c r="A39" s="370"/>
      <c r="B39" s="174" t="s">
        <v>96</v>
      </c>
      <c r="C39" s="78">
        <v>480</v>
      </c>
      <c r="D39" s="158">
        <f>4.03+0.743+0.093</f>
        <v>4.8660000000000005</v>
      </c>
      <c r="E39" s="383"/>
      <c r="F39" s="368"/>
      <c r="G39" s="416"/>
      <c r="H39" s="414"/>
      <c r="I39" s="410"/>
      <c r="J39" s="411"/>
      <c r="K39" s="265"/>
      <c r="L39" s="368"/>
      <c r="M39" s="416"/>
      <c r="N39" s="414"/>
    </row>
    <row r="40" spans="1:14" ht="15" customHeight="1" thickBot="1">
      <c r="A40" s="370"/>
      <c r="B40" s="174" t="s">
        <v>112</v>
      </c>
      <c r="C40" s="172">
        <v>17.25</v>
      </c>
      <c r="D40" s="158">
        <v>45.412</v>
      </c>
      <c r="E40" s="383"/>
      <c r="F40" s="368"/>
      <c r="G40" s="416"/>
      <c r="H40" s="414"/>
      <c r="I40" s="410"/>
      <c r="J40" s="411"/>
      <c r="K40" s="265"/>
      <c r="L40" s="368"/>
      <c r="M40" s="416"/>
      <c r="N40" s="414"/>
    </row>
    <row r="41" spans="1:14" ht="13.5" thickTop="1">
      <c r="A41" s="369" t="s">
        <v>25</v>
      </c>
      <c r="B41" s="69" t="s">
        <v>95</v>
      </c>
      <c r="C41" s="115">
        <v>4200</v>
      </c>
      <c r="D41" s="157">
        <f>6.04+2.971+0.093</f>
        <v>9.104</v>
      </c>
      <c r="E41" s="223">
        <v>55</v>
      </c>
      <c r="F41" s="367">
        <v>25.76</v>
      </c>
      <c r="G41" s="415"/>
      <c r="H41" s="413"/>
      <c r="I41" s="396">
        <v>3001</v>
      </c>
      <c r="J41" s="412">
        <v>128.16</v>
      </c>
      <c r="K41" s="223"/>
      <c r="L41" s="367"/>
      <c r="M41" s="415"/>
      <c r="N41" s="413"/>
    </row>
    <row r="42" spans="1:14" ht="12.75">
      <c r="A42" s="370"/>
      <c r="B42" s="65" t="s">
        <v>96</v>
      </c>
      <c r="C42" s="115">
        <v>930</v>
      </c>
      <c r="D42" s="158">
        <f>4.03+0.743+0.093</f>
        <v>4.8660000000000005</v>
      </c>
      <c r="E42" s="265"/>
      <c r="F42" s="368"/>
      <c r="G42" s="416"/>
      <c r="H42" s="414"/>
      <c r="I42" s="396"/>
      <c r="J42" s="412"/>
      <c r="K42" s="265"/>
      <c r="L42" s="368"/>
      <c r="M42" s="416"/>
      <c r="N42" s="414"/>
    </row>
    <row r="43" spans="1:15" ht="13.5" thickBot="1">
      <c r="A43" s="370"/>
      <c r="B43" s="65" t="s">
        <v>112</v>
      </c>
      <c r="C43" s="171">
        <v>17.25</v>
      </c>
      <c r="D43" s="158">
        <v>45.412</v>
      </c>
      <c r="E43" s="265"/>
      <c r="F43" s="368"/>
      <c r="G43" s="416"/>
      <c r="H43" s="414"/>
      <c r="I43" s="396"/>
      <c r="J43" s="412"/>
      <c r="K43" s="265"/>
      <c r="L43" s="368"/>
      <c r="M43" s="416"/>
      <c r="N43" s="414"/>
      <c r="O43" s="181"/>
    </row>
    <row r="44" spans="1:15" ht="13.5" customHeight="1">
      <c r="A44" s="417" t="s">
        <v>26</v>
      </c>
      <c r="B44" s="185" t="s">
        <v>95</v>
      </c>
      <c r="C44" s="77">
        <v>4080</v>
      </c>
      <c r="D44" s="77">
        <f>6.04+2.971+0.093</f>
        <v>9.104</v>
      </c>
      <c r="E44" s="420">
        <v>125</v>
      </c>
      <c r="F44" s="421">
        <f>19.95+5.81</f>
        <v>25.759999999999998</v>
      </c>
      <c r="G44" s="421"/>
      <c r="H44" s="421"/>
      <c r="I44" s="433">
        <v>2997</v>
      </c>
      <c r="J44" s="433">
        <v>128.16</v>
      </c>
      <c r="K44" s="436"/>
      <c r="L44" s="367"/>
      <c r="M44" s="415"/>
      <c r="N44" s="413"/>
      <c r="O44" s="181"/>
    </row>
    <row r="45" spans="1:15" ht="13.5" customHeight="1">
      <c r="A45" s="418"/>
      <c r="B45" s="186" t="s">
        <v>96</v>
      </c>
      <c r="C45" s="78">
        <v>780</v>
      </c>
      <c r="D45" s="78">
        <f>4.03+0.743+0.093</f>
        <v>4.8660000000000005</v>
      </c>
      <c r="E45" s="420"/>
      <c r="F45" s="421"/>
      <c r="G45" s="421"/>
      <c r="H45" s="421"/>
      <c r="I45" s="433"/>
      <c r="J45" s="433"/>
      <c r="K45" s="437"/>
      <c r="L45" s="368"/>
      <c r="M45" s="416"/>
      <c r="N45" s="414"/>
      <c r="O45" s="181"/>
    </row>
    <row r="46" spans="1:15" ht="13.5" customHeight="1" thickBot="1">
      <c r="A46" s="419"/>
      <c r="B46" s="187" t="s">
        <v>112</v>
      </c>
      <c r="C46" s="172">
        <v>17.25</v>
      </c>
      <c r="D46" s="159">
        <v>45.412</v>
      </c>
      <c r="E46" s="420"/>
      <c r="F46" s="421"/>
      <c r="G46" s="421"/>
      <c r="H46" s="421"/>
      <c r="I46" s="433"/>
      <c r="J46" s="433"/>
      <c r="K46" s="438"/>
      <c r="L46" s="439"/>
      <c r="M46" s="440"/>
      <c r="N46" s="441"/>
      <c r="O46" s="181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81"/>
    </row>
    <row r="48" spans="1:14" s="37" customFormat="1" ht="13.5" customHeight="1">
      <c r="A48" s="256" t="s">
        <v>32</v>
      </c>
      <c r="B48" s="256"/>
      <c r="C48" s="256"/>
      <c r="D48" s="256"/>
      <c r="E48" s="33"/>
      <c r="F48" s="33"/>
      <c r="G48" s="33"/>
      <c r="H48" s="33"/>
      <c r="I48" s="1"/>
      <c r="J48" s="1"/>
      <c r="K48" s="1" t="s">
        <v>118</v>
      </c>
      <c r="L48" s="1"/>
      <c r="M48" s="1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1"/>
      <c r="J49" s="1"/>
      <c r="K49" s="1" t="s">
        <v>119</v>
      </c>
      <c r="L49" s="1"/>
      <c r="M49" s="1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100">
    <mergeCell ref="M44:M46"/>
    <mergeCell ref="N44:N46"/>
    <mergeCell ref="I35:I37"/>
    <mergeCell ref="J35:J37"/>
    <mergeCell ref="I20:I22"/>
    <mergeCell ref="J20:J22"/>
    <mergeCell ref="K44:K46"/>
    <mergeCell ref="L44:L46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K41:K43"/>
    <mergeCell ref="L41:L43"/>
    <mergeCell ref="I38:I40"/>
    <mergeCell ref="I41:I43"/>
    <mergeCell ref="J38:J40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I36" activeCellId="1" sqref="I36:M37 I36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00" t="s">
        <v>29</v>
      </c>
      <c r="J1" s="400"/>
      <c r="K1" s="400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00" t="s">
        <v>2</v>
      </c>
      <c r="J2" s="400"/>
      <c r="K2" s="400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00" t="s">
        <v>3</v>
      </c>
      <c r="J3" s="400"/>
      <c r="K3" s="400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3" t="s">
        <v>27</v>
      </c>
      <c r="H9" s="234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9" t="s">
        <v>16</v>
      </c>
      <c r="B11" s="99" t="s">
        <v>95</v>
      </c>
      <c r="C11" s="87">
        <v>1620</v>
      </c>
      <c r="D11" s="6">
        <f>5.25+2.599+0.093</f>
        <v>7.942</v>
      </c>
      <c r="E11" s="252">
        <v>17</v>
      </c>
      <c r="F11" s="247">
        <v>22.89</v>
      </c>
      <c r="G11" s="261">
        <f>45.5*84</f>
        <v>3822</v>
      </c>
      <c r="H11" s="237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80"/>
      <c r="B12" s="102" t="s">
        <v>115</v>
      </c>
      <c r="C12" s="115">
        <v>17.25</v>
      </c>
      <c r="D12" s="8">
        <v>45.412</v>
      </c>
      <c r="E12" s="377"/>
      <c r="F12" s="226"/>
      <c r="G12" s="230"/>
      <c r="H12" s="232"/>
      <c r="I12" s="7"/>
      <c r="J12" s="8"/>
      <c r="K12" s="7"/>
      <c r="L12" s="8"/>
      <c r="M12" s="7"/>
      <c r="N12" s="8"/>
    </row>
    <row r="13" spans="1:14" ht="15" customHeight="1" thickTop="1">
      <c r="A13" s="369" t="s">
        <v>17</v>
      </c>
      <c r="B13" s="104" t="s">
        <v>95</v>
      </c>
      <c r="C13" s="114">
        <v>1465</v>
      </c>
      <c r="D13" s="6">
        <f>5.25+2.599+0.093</f>
        <v>7.942</v>
      </c>
      <c r="E13" s="382">
        <v>16</v>
      </c>
      <c r="F13" s="231">
        <v>22.89</v>
      </c>
      <c r="G13" s="229">
        <f>45.5*84</f>
        <v>3822</v>
      </c>
      <c r="H13" s="231">
        <v>13.65</v>
      </c>
      <c r="I13" s="14"/>
      <c r="J13" s="15"/>
      <c r="K13" s="14"/>
      <c r="L13" s="15"/>
      <c r="M13" s="14"/>
      <c r="N13" s="15"/>
    </row>
    <row r="14" spans="1:14" ht="13.5" thickBot="1">
      <c r="A14" s="380"/>
      <c r="B14" s="104" t="s">
        <v>96</v>
      </c>
      <c r="C14" s="113">
        <v>17.25</v>
      </c>
      <c r="D14" s="8">
        <v>45.412</v>
      </c>
      <c r="E14" s="377"/>
      <c r="F14" s="232"/>
      <c r="G14" s="230"/>
      <c r="H14" s="232"/>
      <c r="I14" s="21"/>
      <c r="J14" s="22"/>
      <c r="K14" s="21"/>
      <c r="L14" s="22"/>
      <c r="M14" s="21"/>
      <c r="N14" s="22"/>
    </row>
    <row r="15" spans="1:14" ht="15" customHeight="1" thickTop="1">
      <c r="A15" s="369" t="s">
        <v>18</v>
      </c>
      <c r="B15" s="106" t="s">
        <v>95</v>
      </c>
      <c r="C15" s="114">
        <v>1708</v>
      </c>
      <c r="D15" s="6">
        <f>5.25+2.599+0.093</f>
        <v>7.942</v>
      </c>
      <c r="E15" s="382">
        <v>20</v>
      </c>
      <c r="F15" s="231">
        <v>22.89</v>
      </c>
      <c r="G15" s="229">
        <f>45.5*84</f>
        <v>3822</v>
      </c>
      <c r="H15" s="231">
        <v>13.65</v>
      </c>
      <c r="I15" s="14"/>
      <c r="J15" s="15"/>
      <c r="K15" s="14"/>
      <c r="L15" s="15"/>
      <c r="M15" s="14"/>
      <c r="N15" s="15"/>
    </row>
    <row r="16" spans="1:14" ht="13.5" thickBot="1">
      <c r="A16" s="380"/>
      <c r="B16" s="102" t="s">
        <v>96</v>
      </c>
      <c r="C16" s="113">
        <v>17.25</v>
      </c>
      <c r="D16" s="8">
        <v>45.412</v>
      </c>
      <c r="E16" s="377"/>
      <c r="F16" s="232"/>
      <c r="G16" s="230"/>
      <c r="H16" s="232"/>
      <c r="I16" s="21"/>
      <c r="J16" s="22"/>
      <c r="K16" s="21"/>
      <c r="L16" s="22"/>
      <c r="M16" s="21"/>
      <c r="N16" s="22"/>
    </row>
    <row r="17" spans="1:14" ht="13.5" thickTop="1">
      <c r="A17" s="369" t="s">
        <v>19</v>
      </c>
      <c r="B17" s="106" t="s">
        <v>95</v>
      </c>
      <c r="C17" s="114">
        <v>1274</v>
      </c>
      <c r="D17" s="6">
        <f>5.25+2.599+0.093</f>
        <v>7.942</v>
      </c>
      <c r="E17" s="382">
        <v>18</v>
      </c>
      <c r="F17" s="231">
        <v>25.76</v>
      </c>
      <c r="G17" s="229">
        <f>45.5*84</f>
        <v>3822</v>
      </c>
      <c r="H17" s="231">
        <v>13.65</v>
      </c>
      <c r="I17" s="14"/>
      <c r="J17" s="15"/>
      <c r="K17" s="14"/>
      <c r="L17" s="15"/>
      <c r="M17" s="14"/>
      <c r="N17" s="15"/>
    </row>
    <row r="18" spans="1:14" ht="13.5" thickBot="1">
      <c r="A18" s="380"/>
      <c r="B18" s="102" t="s">
        <v>96</v>
      </c>
      <c r="C18" s="113">
        <v>17.25</v>
      </c>
      <c r="D18" s="8">
        <v>45.412</v>
      </c>
      <c r="E18" s="377"/>
      <c r="F18" s="232"/>
      <c r="G18" s="230"/>
      <c r="H18" s="232"/>
      <c r="I18" s="21"/>
      <c r="J18" s="22"/>
      <c r="K18" s="21"/>
      <c r="L18" s="22"/>
      <c r="M18" s="21"/>
      <c r="N18" s="22"/>
    </row>
    <row r="19" spans="1:14" ht="13.5" thickTop="1">
      <c r="A19" s="369" t="s">
        <v>20</v>
      </c>
      <c r="B19" s="106" t="s">
        <v>95</v>
      </c>
      <c r="C19" s="114">
        <v>842</v>
      </c>
      <c r="D19" s="6">
        <f>5.25+2.599+0.093</f>
        <v>7.942</v>
      </c>
      <c r="E19" s="382">
        <v>22</v>
      </c>
      <c r="F19" s="231">
        <v>25.76</v>
      </c>
      <c r="G19" s="229">
        <f>45.5*84</f>
        <v>3822</v>
      </c>
      <c r="H19" s="225">
        <v>13.65</v>
      </c>
      <c r="I19" s="14"/>
      <c r="J19" s="15"/>
      <c r="K19" s="14"/>
      <c r="L19" s="15"/>
      <c r="M19" s="14"/>
      <c r="N19" s="15"/>
    </row>
    <row r="20" spans="1:14" ht="13.5" thickBot="1">
      <c r="A20" s="380"/>
      <c r="B20" s="102" t="s">
        <v>96</v>
      </c>
      <c r="C20" s="113">
        <v>17.25</v>
      </c>
      <c r="D20" s="8">
        <v>45.412</v>
      </c>
      <c r="E20" s="377"/>
      <c r="F20" s="232"/>
      <c r="G20" s="230"/>
      <c r="H20" s="226"/>
      <c r="I20" s="21"/>
      <c r="J20" s="22"/>
      <c r="K20" s="21"/>
      <c r="L20" s="22"/>
      <c r="M20" s="21"/>
      <c r="N20" s="22"/>
    </row>
    <row r="21" spans="1:14" ht="13.5" thickTop="1">
      <c r="A21" s="369" t="s">
        <v>69</v>
      </c>
      <c r="B21" s="106" t="s">
        <v>95</v>
      </c>
      <c r="C21" s="114">
        <v>788</v>
      </c>
      <c r="D21" s="6">
        <f>5.25+2.599+0.093</f>
        <v>7.942</v>
      </c>
      <c r="E21" s="382">
        <v>27</v>
      </c>
      <c r="F21" s="231">
        <v>25.76</v>
      </c>
      <c r="G21" s="229">
        <f>45.5*84</f>
        <v>3822</v>
      </c>
      <c r="H21" s="225">
        <v>13.65</v>
      </c>
      <c r="I21" s="14"/>
      <c r="J21" s="15"/>
      <c r="K21" s="14"/>
      <c r="L21" s="15"/>
      <c r="M21" s="14"/>
      <c r="N21" s="15"/>
    </row>
    <row r="22" spans="1:14" ht="13.5" thickBot="1">
      <c r="A22" s="380"/>
      <c r="B22" s="102" t="s">
        <v>96</v>
      </c>
      <c r="C22" s="113">
        <v>17.25</v>
      </c>
      <c r="D22" s="8">
        <v>45.412</v>
      </c>
      <c r="E22" s="377"/>
      <c r="F22" s="232"/>
      <c r="G22" s="230"/>
      <c r="H22" s="226"/>
      <c r="I22" s="21"/>
      <c r="J22" s="22"/>
      <c r="K22" s="21"/>
      <c r="L22" s="22"/>
      <c r="M22" s="21"/>
      <c r="N22" s="22"/>
    </row>
    <row r="23" spans="1:14" ht="13.5" thickTop="1">
      <c r="A23" s="369" t="s">
        <v>70</v>
      </c>
      <c r="B23" s="106" t="s">
        <v>95</v>
      </c>
      <c r="C23" s="114">
        <v>697</v>
      </c>
      <c r="D23" s="6">
        <f>5.25+2.599+0.093</f>
        <v>7.942</v>
      </c>
      <c r="E23" s="382">
        <v>18</v>
      </c>
      <c r="F23" s="231">
        <v>25.76</v>
      </c>
      <c r="G23" s="229">
        <f>45.5*84</f>
        <v>3822</v>
      </c>
      <c r="H23" s="225">
        <v>13.65</v>
      </c>
      <c r="I23" s="14"/>
      <c r="J23" s="15"/>
      <c r="K23" s="14"/>
      <c r="L23" s="15"/>
      <c r="M23" s="14"/>
      <c r="N23" s="15"/>
    </row>
    <row r="24" spans="1:14" ht="12.75">
      <c r="A24" s="380"/>
      <c r="B24" s="102" t="s">
        <v>96</v>
      </c>
      <c r="C24" s="113">
        <v>17.25</v>
      </c>
      <c r="D24" s="8">
        <v>45.412</v>
      </c>
      <c r="E24" s="377"/>
      <c r="F24" s="232"/>
      <c r="G24" s="230"/>
      <c r="H24" s="226"/>
      <c r="I24" s="21"/>
      <c r="J24" s="22"/>
      <c r="K24" s="21"/>
      <c r="L24" s="22"/>
      <c r="M24" s="21"/>
      <c r="N24" s="22"/>
    </row>
    <row r="25" spans="1:14" ht="12.75">
      <c r="A25" s="369" t="s">
        <v>22</v>
      </c>
      <c r="B25" s="106" t="s">
        <v>95</v>
      </c>
      <c r="C25" s="114">
        <v>701</v>
      </c>
      <c r="D25" s="15">
        <f>5.37+2.599+0.093</f>
        <v>8.062000000000001</v>
      </c>
      <c r="E25" s="382">
        <v>27</v>
      </c>
      <c r="F25" s="231">
        <v>25.76</v>
      </c>
      <c r="G25" s="229">
        <f>45.5*84</f>
        <v>3822</v>
      </c>
      <c r="H25" s="225">
        <v>13.65</v>
      </c>
      <c r="I25" s="21"/>
      <c r="J25" s="22"/>
      <c r="K25" s="21"/>
      <c r="L25" s="22"/>
      <c r="M25" s="21"/>
      <c r="N25" s="22"/>
    </row>
    <row r="26" spans="1:14" ht="12.75">
      <c r="A26" s="380"/>
      <c r="B26" s="102" t="s">
        <v>96</v>
      </c>
      <c r="C26" s="113">
        <v>17.25</v>
      </c>
      <c r="D26" s="22">
        <v>45.412</v>
      </c>
      <c r="E26" s="377"/>
      <c r="F26" s="232"/>
      <c r="G26" s="230"/>
      <c r="H26" s="226"/>
      <c r="I26" s="4"/>
      <c r="J26" s="5"/>
      <c r="K26" s="4"/>
      <c r="L26" s="5"/>
      <c r="M26" s="4"/>
      <c r="N26" s="5"/>
    </row>
    <row r="27" spans="1:14" ht="12.75">
      <c r="A27" s="369" t="s">
        <v>23</v>
      </c>
      <c r="B27" s="106" t="s">
        <v>95</v>
      </c>
      <c r="C27" s="114">
        <v>950</v>
      </c>
      <c r="D27" s="15">
        <f>5.37+2.599+0.093</f>
        <v>8.062000000000001</v>
      </c>
      <c r="E27" s="382">
        <v>30</v>
      </c>
      <c r="F27" s="231">
        <v>25.76</v>
      </c>
      <c r="G27" s="229">
        <f>45.5*84</f>
        <v>3822</v>
      </c>
      <c r="H27" s="225">
        <v>13.65</v>
      </c>
      <c r="I27" s="4"/>
      <c r="J27" s="5"/>
      <c r="K27" s="4"/>
      <c r="L27" s="5"/>
      <c r="M27" s="4"/>
      <c r="N27" s="5"/>
    </row>
    <row r="28" spans="1:14" ht="12.75">
      <c r="A28" s="380"/>
      <c r="B28" s="102" t="s">
        <v>96</v>
      </c>
      <c r="C28" s="113">
        <v>17.25</v>
      </c>
      <c r="D28" s="22">
        <v>45.412</v>
      </c>
      <c r="E28" s="377"/>
      <c r="F28" s="232"/>
      <c r="G28" s="230"/>
      <c r="H28" s="226"/>
      <c r="I28" s="4"/>
      <c r="J28" s="5"/>
      <c r="K28" s="4"/>
      <c r="L28" s="5"/>
      <c r="M28" s="4"/>
      <c r="N28" s="5"/>
    </row>
    <row r="29" spans="1:14" ht="12.75">
      <c r="A29" s="369" t="s">
        <v>24</v>
      </c>
      <c r="B29" s="106" t="s">
        <v>95</v>
      </c>
      <c r="C29" s="114">
        <v>1134</v>
      </c>
      <c r="D29" s="15">
        <f>5.37+2.599+0.093</f>
        <v>8.062000000000001</v>
      </c>
      <c r="E29" s="382">
        <v>23</v>
      </c>
      <c r="F29" s="231">
        <v>25.76</v>
      </c>
      <c r="G29" s="229">
        <f>45.5*84</f>
        <v>3822</v>
      </c>
      <c r="H29" s="225">
        <v>13.65</v>
      </c>
      <c r="I29" s="4"/>
      <c r="J29" s="5"/>
      <c r="K29" s="4"/>
      <c r="L29" s="5"/>
      <c r="M29" s="4"/>
      <c r="N29" s="5"/>
    </row>
    <row r="30" spans="1:14" ht="12.75">
      <c r="A30" s="380"/>
      <c r="B30" s="102" t="s">
        <v>96</v>
      </c>
      <c r="C30" s="113">
        <v>17.25</v>
      </c>
      <c r="D30" s="22">
        <v>45.412</v>
      </c>
      <c r="E30" s="377"/>
      <c r="F30" s="232"/>
      <c r="G30" s="230"/>
      <c r="H30" s="226"/>
      <c r="I30" s="4"/>
      <c r="J30" s="5"/>
      <c r="K30" s="4"/>
      <c r="L30" s="5"/>
      <c r="M30" s="4"/>
      <c r="N30" s="5"/>
    </row>
    <row r="31" spans="1:14" ht="12.75">
      <c r="A31" s="369" t="s">
        <v>25</v>
      </c>
      <c r="B31" s="106" t="s">
        <v>95</v>
      </c>
      <c r="C31" s="114">
        <v>1019</v>
      </c>
      <c r="D31" s="15">
        <v>8.062</v>
      </c>
      <c r="E31" s="382">
        <v>20</v>
      </c>
      <c r="F31" s="231">
        <v>25.76</v>
      </c>
      <c r="G31" s="229">
        <f>45.5*84</f>
        <v>3822</v>
      </c>
      <c r="H31" s="225">
        <v>13.65</v>
      </c>
      <c r="I31" s="4"/>
      <c r="J31" s="5"/>
      <c r="K31" s="4"/>
      <c r="L31" s="5"/>
      <c r="M31" s="4"/>
      <c r="N31" s="5"/>
    </row>
    <row r="32" spans="1:14" ht="12.75">
      <c r="A32" s="380"/>
      <c r="B32" s="102" t="s">
        <v>96</v>
      </c>
      <c r="C32" s="113">
        <v>17.25</v>
      </c>
      <c r="D32" s="22">
        <v>45.412</v>
      </c>
      <c r="E32" s="377"/>
      <c r="F32" s="232"/>
      <c r="G32" s="230"/>
      <c r="H32" s="226"/>
      <c r="I32" s="4"/>
      <c r="J32" s="5"/>
      <c r="K32" s="4"/>
      <c r="L32" s="5"/>
      <c r="M32" s="4"/>
      <c r="N32" s="5"/>
    </row>
    <row r="33" spans="1:14" ht="12.75">
      <c r="A33" s="369" t="s">
        <v>26</v>
      </c>
      <c r="B33" s="106" t="s">
        <v>95</v>
      </c>
      <c r="C33" s="114">
        <v>1356</v>
      </c>
      <c r="D33" s="15">
        <v>8.062</v>
      </c>
      <c r="E33" s="382">
        <v>27</v>
      </c>
      <c r="F33" s="231">
        <v>25.76</v>
      </c>
      <c r="G33" s="229">
        <f>45.5*84</f>
        <v>3822</v>
      </c>
      <c r="H33" s="225">
        <v>13.65</v>
      </c>
      <c r="I33" s="14"/>
      <c r="J33" s="15"/>
      <c r="K33" s="14"/>
      <c r="L33" s="15"/>
      <c r="M33" s="14"/>
      <c r="N33" s="15"/>
    </row>
    <row r="34" spans="1:14" ht="13.5" thickBot="1">
      <c r="A34" s="407"/>
      <c r="B34" s="108" t="s">
        <v>96</v>
      </c>
      <c r="C34" s="113">
        <v>17.25</v>
      </c>
      <c r="D34" s="22">
        <v>45.412</v>
      </c>
      <c r="E34" s="253"/>
      <c r="F34" s="442"/>
      <c r="G34" s="268"/>
      <c r="H34" s="25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56" t="s">
        <v>32</v>
      </c>
      <c r="B36" s="256"/>
      <c r="C36" s="256"/>
      <c r="D36" s="257"/>
      <c r="E36" s="33"/>
      <c r="F36" s="33"/>
      <c r="G36" s="33"/>
      <c r="H36" s="33"/>
      <c r="I36" s="1"/>
      <c r="J36" s="1"/>
      <c r="K36" s="1" t="s">
        <v>118</v>
      </c>
      <c r="L36" s="1"/>
      <c r="M36" s="1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1"/>
      <c r="J37" s="1"/>
      <c r="K37" s="1" t="s">
        <v>119</v>
      </c>
      <c r="L37" s="1"/>
      <c r="M37" s="1"/>
      <c r="N37" s="33"/>
    </row>
    <row r="38" spans="1:14" s="37" customFormat="1" ht="12.75">
      <c r="A38" s="33"/>
      <c r="B38" s="256" t="s">
        <v>35</v>
      </c>
      <c r="C38" s="256"/>
      <c r="D38" s="256"/>
      <c r="E38" s="25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56" t="s">
        <v>34</v>
      </c>
      <c r="C39" s="256"/>
      <c r="D39" s="25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H25:H26"/>
    <mergeCell ref="E25:E26"/>
    <mergeCell ref="F25:F26"/>
    <mergeCell ref="A27:A28"/>
    <mergeCell ref="F27:F28"/>
    <mergeCell ref="G27:G28"/>
    <mergeCell ref="H27:H28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H11:H12"/>
    <mergeCell ref="H13:H14"/>
    <mergeCell ref="G13:G14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A11:A12"/>
    <mergeCell ref="I9:J9"/>
    <mergeCell ref="E9:E10"/>
    <mergeCell ref="F9:F10"/>
    <mergeCell ref="G9:H9"/>
    <mergeCell ref="A13:A14"/>
    <mergeCell ref="F13:F14"/>
    <mergeCell ref="E13:E14"/>
    <mergeCell ref="F11:F12"/>
    <mergeCell ref="G11:G12"/>
    <mergeCell ref="A17:A18"/>
    <mergeCell ref="E17:E18"/>
    <mergeCell ref="F17:F18"/>
    <mergeCell ref="G17:G18"/>
    <mergeCell ref="B38:E38"/>
    <mergeCell ref="B39:D39"/>
    <mergeCell ref="G31:G32"/>
    <mergeCell ref="A25:A26"/>
    <mergeCell ref="G25:G26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9">
      <selection activeCell="I61" sqref="I61:M62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00" t="s">
        <v>29</v>
      </c>
      <c r="J1" s="400"/>
      <c r="K1" s="400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00" t="s">
        <v>2</v>
      </c>
      <c r="J2" s="400"/>
      <c r="K2" s="400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00" t="s">
        <v>3</v>
      </c>
      <c r="J3" s="400"/>
      <c r="K3" s="400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408" t="s">
        <v>27</v>
      </c>
      <c r="H9" s="409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0"/>
      <c r="B10" s="264"/>
      <c r="C10" s="265"/>
      <c r="D10" s="248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17" t="s">
        <v>16</v>
      </c>
      <c r="B11" s="146" t="s">
        <v>95</v>
      </c>
      <c r="C11" s="165">
        <v>16620</v>
      </c>
      <c r="D11" s="161">
        <f>5.91+2.352+0.093</f>
        <v>8.355</v>
      </c>
      <c r="E11" s="262">
        <v>352</v>
      </c>
      <c r="F11" s="247">
        <v>22.89</v>
      </c>
      <c r="G11" s="261">
        <f>265.8*84</f>
        <v>22327.2</v>
      </c>
      <c r="H11" s="237">
        <v>12.33</v>
      </c>
      <c r="I11" s="7"/>
      <c r="J11" s="8"/>
      <c r="K11" s="7"/>
      <c r="L11" s="8"/>
      <c r="M11" s="7"/>
      <c r="N11" s="8"/>
    </row>
    <row r="12" spans="1:14" ht="16.5" customHeight="1">
      <c r="A12" s="443"/>
      <c r="B12" s="147" t="s">
        <v>96</v>
      </c>
      <c r="C12" s="79">
        <v>13020</v>
      </c>
      <c r="D12" s="162">
        <f>3.94+0.784+0.093</f>
        <v>4.817</v>
      </c>
      <c r="E12" s="265"/>
      <c r="F12" s="248"/>
      <c r="G12" s="371"/>
      <c r="H12" s="398"/>
      <c r="I12" s="7"/>
      <c r="J12" s="8"/>
      <c r="K12" s="7"/>
      <c r="L12" s="8"/>
      <c r="M12" s="7"/>
      <c r="N12" s="8"/>
    </row>
    <row r="13" spans="1:14" ht="16.5" customHeight="1">
      <c r="A13" s="443"/>
      <c r="B13" s="147" t="s">
        <v>115</v>
      </c>
      <c r="C13" s="79">
        <v>232</v>
      </c>
      <c r="D13" s="162">
        <v>145.317</v>
      </c>
      <c r="E13" s="265"/>
      <c r="F13" s="248"/>
      <c r="G13" s="371"/>
      <c r="H13" s="398"/>
      <c r="I13" s="7"/>
      <c r="J13" s="8"/>
      <c r="K13" s="7"/>
      <c r="L13" s="8"/>
      <c r="M13" s="7"/>
      <c r="N13" s="8"/>
    </row>
    <row r="14" spans="1:14" ht="13.5" customHeight="1" thickBot="1">
      <c r="A14" s="419"/>
      <c r="B14" s="148" t="s">
        <v>114</v>
      </c>
      <c r="C14" s="164">
        <v>8640</v>
      </c>
      <c r="D14" s="163">
        <v>1.197</v>
      </c>
      <c r="E14" s="224"/>
      <c r="F14" s="226"/>
      <c r="G14" s="230"/>
      <c r="H14" s="232"/>
      <c r="I14" s="7"/>
      <c r="J14" s="8"/>
      <c r="K14" s="7"/>
      <c r="L14" s="8"/>
      <c r="M14" s="7"/>
      <c r="N14" s="8"/>
    </row>
    <row r="15" spans="1:14" ht="12.75">
      <c r="A15" s="380" t="s">
        <v>17</v>
      </c>
      <c r="B15" s="146" t="s">
        <v>95</v>
      </c>
      <c r="C15" s="165">
        <v>15300</v>
      </c>
      <c r="D15" s="161">
        <f>5.91+2.352+0.093</f>
        <v>8.355</v>
      </c>
      <c r="E15" s="382">
        <f>201+119</f>
        <v>320</v>
      </c>
      <c r="F15" s="225">
        <v>22.89</v>
      </c>
      <c r="G15" s="229">
        <f>265.8*84</f>
        <v>22327.2</v>
      </c>
      <c r="H15" s="231">
        <v>12.33</v>
      </c>
      <c r="I15" s="14"/>
      <c r="J15" s="15"/>
      <c r="K15" s="14"/>
      <c r="L15" s="15"/>
      <c r="M15" s="14"/>
      <c r="N15" s="15"/>
    </row>
    <row r="16" spans="1:14" ht="12.75">
      <c r="A16" s="384"/>
      <c r="B16" s="147" t="s">
        <v>96</v>
      </c>
      <c r="C16" s="79">
        <v>6300</v>
      </c>
      <c r="D16" s="162">
        <f>3.94+0.784+0.093</f>
        <v>4.817</v>
      </c>
      <c r="E16" s="383"/>
      <c r="F16" s="248"/>
      <c r="G16" s="371"/>
      <c r="H16" s="398"/>
      <c r="I16" s="7"/>
      <c r="J16" s="8"/>
      <c r="K16" s="7"/>
      <c r="L16" s="8"/>
      <c r="M16" s="7"/>
      <c r="N16" s="8"/>
    </row>
    <row r="17" spans="1:14" ht="12.75">
      <c r="A17" s="384"/>
      <c r="B17" s="147" t="s">
        <v>115</v>
      </c>
      <c r="C17" s="79">
        <v>232</v>
      </c>
      <c r="D17" s="162">
        <v>145.317</v>
      </c>
      <c r="E17" s="383"/>
      <c r="F17" s="248"/>
      <c r="G17" s="371"/>
      <c r="H17" s="398"/>
      <c r="I17" s="7"/>
      <c r="J17" s="8"/>
      <c r="K17" s="7"/>
      <c r="L17" s="8"/>
      <c r="M17" s="7"/>
      <c r="N17" s="8"/>
    </row>
    <row r="18" spans="1:14" ht="14.25" customHeight="1" thickBot="1">
      <c r="A18" s="384"/>
      <c r="B18" s="148" t="s">
        <v>114</v>
      </c>
      <c r="C18" s="164">
        <f>7100+940</f>
        <v>8040</v>
      </c>
      <c r="D18" s="163">
        <v>1.197</v>
      </c>
      <c r="E18" s="377"/>
      <c r="F18" s="226"/>
      <c r="G18" s="230"/>
      <c r="H18" s="232"/>
      <c r="I18" s="7"/>
      <c r="J18" s="8"/>
      <c r="K18" s="7"/>
      <c r="L18" s="8"/>
      <c r="M18" s="7"/>
      <c r="N18" s="8"/>
    </row>
    <row r="19" spans="1:14" ht="14.25" customHeight="1">
      <c r="A19" s="384" t="s">
        <v>18</v>
      </c>
      <c r="B19" s="146" t="s">
        <v>95</v>
      </c>
      <c r="C19" s="165">
        <v>18060</v>
      </c>
      <c r="D19" s="161">
        <f>5.91+2.352+0.093</f>
        <v>8.355</v>
      </c>
      <c r="E19" s="382">
        <f>289+135</f>
        <v>424</v>
      </c>
      <c r="F19" s="225">
        <v>22.89</v>
      </c>
      <c r="G19" s="229">
        <f>265.8*84</f>
        <v>22327.2</v>
      </c>
      <c r="H19" s="231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84"/>
      <c r="B20" s="147" t="s">
        <v>96</v>
      </c>
      <c r="C20" s="79">
        <v>8100</v>
      </c>
      <c r="D20" s="162">
        <f>3.94+0.784+0.093</f>
        <v>4.817</v>
      </c>
      <c r="E20" s="383"/>
      <c r="F20" s="248"/>
      <c r="G20" s="371"/>
      <c r="H20" s="398"/>
      <c r="I20" s="7"/>
      <c r="J20" s="8"/>
      <c r="K20" s="7"/>
      <c r="L20" s="8"/>
      <c r="M20" s="7"/>
      <c r="N20" s="8"/>
    </row>
    <row r="21" spans="1:14" ht="14.25" customHeight="1">
      <c r="A21" s="384"/>
      <c r="B21" s="147" t="s">
        <v>115</v>
      </c>
      <c r="C21" s="79">
        <v>232</v>
      </c>
      <c r="D21" s="162">
        <v>145.317</v>
      </c>
      <c r="E21" s="383"/>
      <c r="F21" s="248"/>
      <c r="G21" s="371"/>
      <c r="H21" s="398"/>
      <c r="I21" s="7"/>
      <c r="J21" s="8"/>
      <c r="K21" s="7"/>
      <c r="L21" s="8"/>
      <c r="M21" s="7"/>
      <c r="N21" s="8"/>
    </row>
    <row r="22" spans="1:14" ht="13.5" thickBot="1">
      <c r="A22" s="384"/>
      <c r="B22" s="148" t="s">
        <v>114</v>
      </c>
      <c r="C22" s="164">
        <v>8580</v>
      </c>
      <c r="D22" s="163">
        <v>1.197</v>
      </c>
      <c r="E22" s="377"/>
      <c r="F22" s="226"/>
      <c r="G22" s="230"/>
      <c r="H22" s="232"/>
      <c r="I22" s="7"/>
      <c r="J22" s="8"/>
      <c r="K22" s="7"/>
      <c r="L22" s="8"/>
      <c r="M22" s="7"/>
      <c r="N22" s="8"/>
    </row>
    <row r="23" spans="1:14" ht="14.25" customHeight="1">
      <c r="A23" s="384" t="s">
        <v>19</v>
      </c>
      <c r="B23" s="146" t="s">
        <v>95</v>
      </c>
      <c r="C23" s="165">
        <v>16500</v>
      </c>
      <c r="D23" s="161">
        <f>5.91+2.352+0.093</f>
        <v>8.355</v>
      </c>
      <c r="E23" s="382">
        <f>196+107</f>
        <v>303</v>
      </c>
      <c r="F23" s="225">
        <v>25.76</v>
      </c>
      <c r="G23" s="229">
        <f>265.8*84</f>
        <v>22327.2</v>
      </c>
      <c r="H23" s="231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84"/>
      <c r="B24" s="147" t="s">
        <v>96</v>
      </c>
      <c r="C24" s="79">
        <v>7140</v>
      </c>
      <c r="D24" s="162">
        <f>3.94+0.784+0.093</f>
        <v>4.817</v>
      </c>
      <c r="E24" s="383"/>
      <c r="F24" s="248"/>
      <c r="G24" s="371"/>
      <c r="H24" s="398"/>
      <c r="I24" s="7"/>
      <c r="J24" s="8"/>
      <c r="K24" s="7"/>
      <c r="L24" s="8"/>
      <c r="M24" s="7"/>
      <c r="N24" s="8"/>
    </row>
    <row r="25" spans="1:14" ht="14.25" customHeight="1">
      <c r="A25" s="384"/>
      <c r="B25" s="147" t="s">
        <v>115</v>
      </c>
      <c r="C25" s="79">
        <v>232</v>
      </c>
      <c r="D25" s="162">
        <v>145.317</v>
      </c>
      <c r="E25" s="383"/>
      <c r="F25" s="248"/>
      <c r="G25" s="371"/>
      <c r="H25" s="398"/>
      <c r="I25" s="7"/>
      <c r="J25" s="8"/>
      <c r="K25" s="7"/>
      <c r="L25" s="8"/>
      <c r="M25" s="7"/>
      <c r="N25" s="8"/>
    </row>
    <row r="26" spans="1:14" ht="13.5" thickBot="1">
      <c r="A26" s="384"/>
      <c r="B26" s="148" t="s">
        <v>114</v>
      </c>
      <c r="C26" s="164">
        <v>7680</v>
      </c>
      <c r="D26" s="163">
        <v>1.197</v>
      </c>
      <c r="E26" s="377"/>
      <c r="F26" s="226"/>
      <c r="G26" s="230"/>
      <c r="H26" s="232"/>
      <c r="I26" s="7"/>
      <c r="J26" s="8"/>
      <c r="K26" s="7"/>
      <c r="L26" s="8"/>
      <c r="M26" s="7"/>
      <c r="N26" s="8"/>
    </row>
    <row r="27" spans="1:14" ht="12.75" customHeight="1">
      <c r="A27" s="369" t="s">
        <v>20</v>
      </c>
      <c r="B27" s="146" t="s">
        <v>95</v>
      </c>
      <c r="C27" s="166">
        <v>14400</v>
      </c>
      <c r="D27" s="122">
        <f>5.91+2.352+0.093</f>
        <v>8.355</v>
      </c>
      <c r="E27" s="382">
        <f>247+119</f>
        <v>366</v>
      </c>
      <c r="F27" s="225">
        <v>25.76</v>
      </c>
      <c r="G27" s="229">
        <f>265.8*84</f>
        <v>22327.2</v>
      </c>
      <c r="H27" s="225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370"/>
      <c r="B28" s="147" t="s">
        <v>96</v>
      </c>
      <c r="C28" s="167">
        <v>8520</v>
      </c>
      <c r="D28" s="129">
        <f>3.94+0.784+0.093</f>
        <v>4.817</v>
      </c>
      <c r="E28" s="383"/>
      <c r="F28" s="248"/>
      <c r="G28" s="371"/>
      <c r="H28" s="248"/>
      <c r="I28" s="7"/>
      <c r="J28" s="8"/>
      <c r="K28" s="7"/>
      <c r="L28" s="8"/>
      <c r="M28" s="7"/>
      <c r="N28" s="8"/>
    </row>
    <row r="29" spans="1:14" ht="12.75" customHeight="1">
      <c r="A29" s="370"/>
      <c r="B29" s="147" t="s">
        <v>115</v>
      </c>
      <c r="C29" s="167">
        <v>232</v>
      </c>
      <c r="D29" s="129">
        <v>145.317</v>
      </c>
      <c r="E29" s="383"/>
      <c r="F29" s="248"/>
      <c r="G29" s="371"/>
      <c r="H29" s="248"/>
      <c r="I29" s="7"/>
      <c r="J29" s="8"/>
      <c r="K29" s="7"/>
      <c r="L29" s="8"/>
      <c r="M29" s="7"/>
      <c r="N29" s="8"/>
    </row>
    <row r="30" spans="1:14" ht="12.75" customHeight="1" thickBot="1">
      <c r="A30" s="370"/>
      <c r="B30" s="148" t="s">
        <v>114</v>
      </c>
      <c r="C30" s="168">
        <v>5580</v>
      </c>
      <c r="D30" s="132">
        <v>1.197</v>
      </c>
      <c r="E30" s="383"/>
      <c r="F30" s="248"/>
      <c r="G30" s="371"/>
      <c r="H30" s="248"/>
      <c r="I30" s="7"/>
      <c r="J30" s="8"/>
      <c r="K30" s="7"/>
      <c r="L30" s="8"/>
      <c r="M30" s="7"/>
      <c r="N30" s="8"/>
    </row>
    <row r="31" spans="1:14" ht="12.75" customHeight="1">
      <c r="A31" s="369" t="s">
        <v>69</v>
      </c>
      <c r="B31" s="146" t="s">
        <v>95</v>
      </c>
      <c r="C31" s="165">
        <v>16500</v>
      </c>
      <c r="D31" s="161">
        <f>5.91+2.352+0.093</f>
        <v>8.355</v>
      </c>
      <c r="E31" s="382">
        <f>246+125</f>
        <v>371</v>
      </c>
      <c r="F31" s="225">
        <v>25.76</v>
      </c>
      <c r="G31" s="229">
        <f>265.8*84</f>
        <v>22327.2</v>
      </c>
      <c r="H31" s="225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370"/>
      <c r="B32" s="147" t="s">
        <v>96</v>
      </c>
      <c r="C32" s="79">
        <v>11940</v>
      </c>
      <c r="D32" s="162">
        <f>3.94+0.784+0.093</f>
        <v>4.817</v>
      </c>
      <c r="E32" s="383"/>
      <c r="F32" s="248"/>
      <c r="G32" s="371"/>
      <c r="H32" s="248"/>
      <c r="I32" s="7"/>
      <c r="J32" s="8"/>
      <c r="K32" s="7"/>
      <c r="L32" s="8"/>
      <c r="M32" s="7"/>
      <c r="N32" s="8"/>
    </row>
    <row r="33" spans="1:14" ht="12.75" customHeight="1">
      <c r="A33" s="370"/>
      <c r="B33" s="147" t="s">
        <v>115</v>
      </c>
      <c r="C33" s="79">
        <v>232</v>
      </c>
      <c r="D33" s="162">
        <v>145.317</v>
      </c>
      <c r="E33" s="383"/>
      <c r="F33" s="248"/>
      <c r="G33" s="371"/>
      <c r="H33" s="248"/>
      <c r="I33" s="7"/>
      <c r="J33" s="8"/>
      <c r="K33" s="7"/>
      <c r="L33" s="8"/>
      <c r="M33" s="7"/>
      <c r="N33" s="8"/>
    </row>
    <row r="34" spans="1:14" ht="12.75" customHeight="1" thickBot="1">
      <c r="A34" s="370"/>
      <c r="B34" s="148" t="s">
        <v>114</v>
      </c>
      <c r="C34" s="164">
        <v>6660</v>
      </c>
      <c r="D34" s="163">
        <v>1.197</v>
      </c>
      <c r="E34" s="383"/>
      <c r="F34" s="248"/>
      <c r="G34" s="371"/>
      <c r="H34" s="248"/>
      <c r="I34" s="7"/>
      <c r="J34" s="8"/>
      <c r="K34" s="7"/>
      <c r="L34" s="8"/>
      <c r="M34" s="7"/>
      <c r="N34" s="8"/>
    </row>
    <row r="35" spans="1:14" ht="15" customHeight="1">
      <c r="A35" s="369" t="s">
        <v>70</v>
      </c>
      <c r="B35" s="146" t="s">
        <v>95</v>
      </c>
      <c r="C35" s="169">
        <v>13740</v>
      </c>
      <c r="D35" s="122">
        <f>5.91+2.352+0.093</f>
        <v>8.355</v>
      </c>
      <c r="E35" s="382">
        <f>218+117</f>
        <v>335</v>
      </c>
      <c r="F35" s="225">
        <v>25.76</v>
      </c>
      <c r="G35" s="229">
        <f>265.8*84</f>
        <v>22327.2</v>
      </c>
      <c r="H35" s="225">
        <v>12.33</v>
      </c>
      <c r="I35" s="14"/>
      <c r="J35" s="15"/>
      <c r="K35" s="14"/>
      <c r="L35" s="15"/>
      <c r="M35" s="14"/>
      <c r="N35" s="15"/>
    </row>
    <row r="36" spans="1:14" ht="15" customHeight="1">
      <c r="A36" s="370"/>
      <c r="B36" s="147" t="s">
        <v>96</v>
      </c>
      <c r="C36" s="169">
        <v>10980</v>
      </c>
      <c r="D36" s="129">
        <f>3.94+0.784+0.093</f>
        <v>4.817</v>
      </c>
      <c r="E36" s="383"/>
      <c r="F36" s="248"/>
      <c r="G36" s="371"/>
      <c r="H36" s="248"/>
      <c r="I36" s="7"/>
      <c r="J36" s="8"/>
      <c r="K36" s="7"/>
      <c r="L36" s="8"/>
      <c r="M36" s="7"/>
      <c r="N36" s="8"/>
    </row>
    <row r="37" spans="1:14" ht="15" customHeight="1">
      <c r="A37" s="370"/>
      <c r="B37" s="147" t="s">
        <v>115</v>
      </c>
      <c r="C37" s="169">
        <v>232</v>
      </c>
      <c r="D37" s="129">
        <v>145.317</v>
      </c>
      <c r="E37" s="383"/>
      <c r="F37" s="248"/>
      <c r="G37" s="371"/>
      <c r="H37" s="248"/>
      <c r="I37" s="7"/>
      <c r="J37" s="8"/>
      <c r="K37" s="7"/>
      <c r="L37" s="8"/>
      <c r="M37" s="7"/>
      <c r="N37" s="8"/>
    </row>
    <row r="38" spans="1:14" ht="15" customHeight="1" thickBot="1">
      <c r="A38" s="380"/>
      <c r="B38" s="148" t="s">
        <v>114</v>
      </c>
      <c r="C38" s="169">
        <v>7440</v>
      </c>
      <c r="D38" s="132">
        <v>1.197</v>
      </c>
      <c r="E38" s="377"/>
      <c r="F38" s="226"/>
      <c r="G38" s="230"/>
      <c r="H38" s="226"/>
      <c r="I38" s="21"/>
      <c r="J38" s="22"/>
      <c r="K38" s="21"/>
      <c r="L38" s="22"/>
      <c r="M38" s="21"/>
      <c r="N38" s="22"/>
    </row>
    <row r="39" spans="1:14" ht="15" customHeight="1">
      <c r="A39" s="369" t="s">
        <v>22</v>
      </c>
      <c r="B39" s="146" t="s">
        <v>95</v>
      </c>
      <c r="C39" s="165">
        <f>13680+3660</f>
        <v>17340</v>
      </c>
      <c r="D39" s="161">
        <f>6.04+2.352+0.093</f>
        <v>8.485</v>
      </c>
      <c r="E39" s="382">
        <f>184+105</f>
        <v>289</v>
      </c>
      <c r="F39" s="225">
        <v>25.76</v>
      </c>
      <c r="G39" s="229">
        <f>265.8*84</f>
        <v>22327.2</v>
      </c>
      <c r="H39" s="225">
        <v>12.33</v>
      </c>
      <c r="I39" s="21"/>
      <c r="J39" s="22"/>
      <c r="K39" s="21"/>
      <c r="L39" s="22"/>
      <c r="M39" s="21"/>
      <c r="N39" s="22"/>
    </row>
    <row r="40" spans="1:14" ht="15" customHeight="1">
      <c r="A40" s="370"/>
      <c r="B40" s="147" t="s">
        <v>96</v>
      </c>
      <c r="C40" s="79">
        <f>9480+2220</f>
        <v>11700</v>
      </c>
      <c r="D40" s="162">
        <f>4.03+0.784+0.093</f>
        <v>4.907</v>
      </c>
      <c r="E40" s="383"/>
      <c r="F40" s="248"/>
      <c r="G40" s="371"/>
      <c r="H40" s="248"/>
      <c r="I40" s="21"/>
      <c r="J40" s="22"/>
      <c r="K40" s="21"/>
      <c r="L40" s="22"/>
      <c r="M40" s="21"/>
      <c r="N40" s="22"/>
    </row>
    <row r="41" spans="1:14" ht="15" customHeight="1">
      <c r="A41" s="370"/>
      <c r="B41" s="147" t="s">
        <v>115</v>
      </c>
      <c r="C41" s="79">
        <v>232</v>
      </c>
      <c r="D41" s="162">
        <v>145.317</v>
      </c>
      <c r="E41" s="383"/>
      <c r="F41" s="248"/>
      <c r="G41" s="371"/>
      <c r="H41" s="248"/>
      <c r="I41" s="21"/>
      <c r="J41" s="22"/>
      <c r="K41" s="21"/>
      <c r="L41" s="22"/>
      <c r="M41" s="21"/>
      <c r="N41" s="22"/>
    </row>
    <row r="42" spans="1:14" ht="15" customHeight="1" thickBot="1">
      <c r="A42" s="380"/>
      <c r="B42" s="148" t="s">
        <v>114</v>
      </c>
      <c r="C42" s="164">
        <v>5880</v>
      </c>
      <c r="D42" s="163">
        <v>1.197</v>
      </c>
      <c r="E42" s="377"/>
      <c r="F42" s="226"/>
      <c r="G42" s="230"/>
      <c r="H42" s="226"/>
      <c r="I42" s="21"/>
      <c r="J42" s="22"/>
      <c r="K42" s="21"/>
      <c r="L42" s="22"/>
      <c r="M42" s="21"/>
      <c r="N42" s="22"/>
    </row>
    <row r="43" spans="1:14" ht="15" customHeight="1">
      <c r="A43" s="369" t="s">
        <v>23</v>
      </c>
      <c r="B43" s="146" t="s">
        <v>95</v>
      </c>
      <c r="C43" s="116">
        <v>16500</v>
      </c>
      <c r="D43" s="161">
        <f>6.04+2.352+0.093</f>
        <v>8.485</v>
      </c>
      <c r="E43" s="382">
        <f>239+113</f>
        <v>352</v>
      </c>
      <c r="F43" s="225">
        <v>25.76</v>
      </c>
      <c r="G43" s="229">
        <f>265.8*84</f>
        <v>22327.2</v>
      </c>
      <c r="H43" s="225">
        <v>12.33</v>
      </c>
      <c r="I43" s="21"/>
      <c r="J43" s="22"/>
      <c r="K43" s="21"/>
      <c r="L43" s="22"/>
      <c r="M43" s="21"/>
      <c r="N43" s="22"/>
    </row>
    <row r="44" spans="1:14" ht="15" customHeight="1">
      <c r="A44" s="370"/>
      <c r="B44" s="147" t="s">
        <v>96</v>
      </c>
      <c r="C44" s="116">
        <v>10560</v>
      </c>
      <c r="D44" s="162">
        <f>4.03+0.784+0.093</f>
        <v>4.907</v>
      </c>
      <c r="E44" s="383"/>
      <c r="F44" s="248"/>
      <c r="G44" s="371"/>
      <c r="H44" s="248"/>
      <c r="I44" s="21"/>
      <c r="J44" s="22"/>
      <c r="K44" s="21"/>
      <c r="L44" s="22"/>
      <c r="M44" s="21"/>
      <c r="N44" s="22"/>
    </row>
    <row r="45" spans="1:14" ht="15" customHeight="1">
      <c r="A45" s="370"/>
      <c r="B45" s="147" t="s">
        <v>115</v>
      </c>
      <c r="C45" s="115">
        <v>232</v>
      </c>
      <c r="D45" s="162">
        <v>145.317</v>
      </c>
      <c r="E45" s="383"/>
      <c r="F45" s="248"/>
      <c r="G45" s="371"/>
      <c r="H45" s="248"/>
      <c r="I45" s="21"/>
      <c r="J45" s="22"/>
      <c r="K45" s="21"/>
      <c r="L45" s="22"/>
      <c r="M45" s="21"/>
      <c r="N45" s="22"/>
    </row>
    <row r="46" spans="1:14" ht="13.5" thickBot="1">
      <c r="A46" s="380"/>
      <c r="B46" s="148" t="s">
        <v>114</v>
      </c>
      <c r="C46" s="126">
        <v>6720</v>
      </c>
      <c r="D46" s="163">
        <v>1.197</v>
      </c>
      <c r="E46" s="377"/>
      <c r="F46" s="226"/>
      <c r="G46" s="230"/>
      <c r="H46" s="226"/>
      <c r="I46" s="4"/>
      <c r="J46" s="5"/>
      <c r="K46" s="4"/>
      <c r="L46" s="5"/>
      <c r="M46" s="4"/>
      <c r="N46" s="5"/>
    </row>
    <row r="47" spans="1:14" ht="15" customHeight="1">
      <c r="A47" s="370" t="s">
        <v>24</v>
      </c>
      <c r="B47" s="146" t="s">
        <v>95</v>
      </c>
      <c r="C47" s="114">
        <v>19740</v>
      </c>
      <c r="D47" s="161">
        <f>6.04+2.352+0.093</f>
        <v>8.485</v>
      </c>
      <c r="E47" s="382">
        <f>262+122</f>
        <v>384</v>
      </c>
      <c r="F47" s="225">
        <v>25.76</v>
      </c>
      <c r="G47" s="229">
        <f>265.8*84</f>
        <v>22327.2</v>
      </c>
      <c r="H47" s="225">
        <v>12.33</v>
      </c>
      <c r="I47" s="4"/>
      <c r="J47" s="5"/>
      <c r="K47" s="4"/>
      <c r="L47" s="5"/>
      <c r="M47" s="4"/>
      <c r="N47" s="5"/>
    </row>
    <row r="48" spans="1:14" ht="15" customHeight="1">
      <c r="A48" s="370"/>
      <c r="B48" s="147" t="s">
        <v>96</v>
      </c>
      <c r="C48" s="115">
        <v>11400</v>
      </c>
      <c r="D48" s="162">
        <f>4.03+0.784+0.093</f>
        <v>4.907</v>
      </c>
      <c r="E48" s="383"/>
      <c r="F48" s="248"/>
      <c r="G48" s="371"/>
      <c r="H48" s="248"/>
      <c r="I48" s="4"/>
      <c r="J48" s="5"/>
      <c r="K48" s="4"/>
      <c r="L48" s="5"/>
      <c r="M48" s="4"/>
      <c r="N48" s="5"/>
    </row>
    <row r="49" spans="1:14" ht="15" customHeight="1">
      <c r="A49" s="370"/>
      <c r="B49" s="147" t="s">
        <v>115</v>
      </c>
      <c r="C49" s="115">
        <v>232</v>
      </c>
      <c r="D49" s="162">
        <v>145.317</v>
      </c>
      <c r="E49" s="383"/>
      <c r="F49" s="248"/>
      <c r="G49" s="371"/>
      <c r="H49" s="248"/>
      <c r="I49" s="4"/>
      <c r="J49" s="5"/>
      <c r="K49" s="4"/>
      <c r="L49" s="5"/>
      <c r="M49" s="4"/>
      <c r="N49" s="5"/>
    </row>
    <row r="50" spans="1:14" ht="13.5" thickBot="1">
      <c r="A50" s="380"/>
      <c r="B50" s="148" t="s">
        <v>114</v>
      </c>
      <c r="C50" s="126">
        <v>6300</v>
      </c>
      <c r="D50" s="163">
        <v>1.197</v>
      </c>
      <c r="E50" s="377"/>
      <c r="F50" s="226"/>
      <c r="G50" s="230"/>
      <c r="H50" s="226"/>
      <c r="I50" s="4"/>
      <c r="J50" s="5"/>
      <c r="K50" s="4"/>
      <c r="L50" s="5"/>
      <c r="M50" s="4"/>
      <c r="N50" s="5"/>
    </row>
    <row r="51" spans="1:14" ht="12.75">
      <c r="A51" s="369" t="s">
        <v>25</v>
      </c>
      <c r="B51" s="146" t="s">
        <v>95</v>
      </c>
      <c r="C51" s="114">
        <v>17100</v>
      </c>
      <c r="D51" s="15">
        <f>6.04+2.352+0.093</f>
        <v>8.485</v>
      </c>
      <c r="E51" s="382">
        <f>262+125</f>
        <v>387</v>
      </c>
      <c r="F51" s="225">
        <v>25.76</v>
      </c>
      <c r="G51" s="229">
        <f>265.8*84</f>
        <v>22327.2</v>
      </c>
      <c r="H51" s="225">
        <v>12.33</v>
      </c>
      <c r="I51" s="4"/>
      <c r="J51" s="5"/>
      <c r="K51" s="4"/>
      <c r="L51" s="5"/>
      <c r="M51" s="4"/>
      <c r="N51" s="5"/>
    </row>
    <row r="52" spans="1:14" ht="15" customHeight="1">
      <c r="A52" s="370"/>
      <c r="B52" s="147" t="s">
        <v>96</v>
      </c>
      <c r="C52" s="115">
        <v>9660</v>
      </c>
      <c r="D52" s="8">
        <f>4.03+0.784+0.093</f>
        <v>4.907</v>
      </c>
      <c r="E52" s="383"/>
      <c r="F52" s="248"/>
      <c r="G52" s="371"/>
      <c r="H52" s="248"/>
      <c r="I52" s="4"/>
      <c r="J52" s="5"/>
      <c r="K52" s="4"/>
      <c r="L52" s="5"/>
      <c r="M52" s="4"/>
      <c r="N52" s="5"/>
    </row>
    <row r="53" spans="1:14" ht="15" customHeight="1">
      <c r="A53" s="370"/>
      <c r="B53" s="147" t="s">
        <v>115</v>
      </c>
      <c r="C53" s="115">
        <v>232</v>
      </c>
      <c r="D53" s="8">
        <v>145.317</v>
      </c>
      <c r="E53" s="383"/>
      <c r="F53" s="248"/>
      <c r="G53" s="371"/>
      <c r="H53" s="248"/>
      <c r="I53" s="4"/>
      <c r="J53" s="5"/>
      <c r="K53" s="4"/>
      <c r="L53" s="5"/>
      <c r="M53" s="4"/>
      <c r="N53" s="5"/>
    </row>
    <row r="54" spans="1:14" ht="13.5" thickBot="1">
      <c r="A54" s="380"/>
      <c r="B54" s="148" t="s">
        <v>114</v>
      </c>
      <c r="C54" s="127">
        <v>5340</v>
      </c>
      <c r="D54" s="22">
        <v>1.197</v>
      </c>
      <c r="E54" s="377"/>
      <c r="F54" s="226"/>
      <c r="G54" s="230"/>
      <c r="H54" s="226"/>
      <c r="I54" s="4"/>
      <c r="J54" s="5"/>
      <c r="K54" s="4"/>
      <c r="L54" s="5"/>
      <c r="M54" s="4"/>
      <c r="N54" s="5"/>
    </row>
    <row r="55" spans="1:14" ht="12.75">
      <c r="A55" s="227" t="s">
        <v>26</v>
      </c>
      <c r="B55" s="146" t="s">
        <v>95</v>
      </c>
      <c r="C55" s="115">
        <f>20640</f>
        <v>20640</v>
      </c>
      <c r="D55" s="15">
        <f>6.04+2.352+0.093</f>
        <v>8.485</v>
      </c>
      <c r="E55" s="382">
        <f>246+118</f>
        <v>364</v>
      </c>
      <c r="F55" s="225">
        <v>25.76</v>
      </c>
      <c r="G55" s="229">
        <f>265.8*84</f>
        <v>22327.2</v>
      </c>
      <c r="H55" s="225">
        <v>12.33</v>
      </c>
      <c r="I55" s="14"/>
      <c r="J55" s="15"/>
      <c r="K55" s="14"/>
      <c r="L55" s="15"/>
      <c r="M55" s="14"/>
      <c r="N55" s="15"/>
    </row>
    <row r="56" spans="1:14" ht="15" customHeight="1">
      <c r="A56" s="444"/>
      <c r="B56" s="147" t="s">
        <v>96</v>
      </c>
      <c r="C56" s="115">
        <v>11220</v>
      </c>
      <c r="D56" s="8">
        <f>4.03+0.784+0.093</f>
        <v>4.907</v>
      </c>
      <c r="E56" s="383"/>
      <c r="F56" s="248"/>
      <c r="G56" s="371"/>
      <c r="H56" s="248"/>
      <c r="I56" s="14"/>
      <c r="J56" s="15"/>
      <c r="K56" s="14"/>
      <c r="L56" s="15"/>
      <c r="M56" s="14"/>
      <c r="N56" s="15"/>
    </row>
    <row r="57" spans="1:14" ht="15" customHeight="1">
      <c r="A57" s="444"/>
      <c r="B57" s="147" t="s">
        <v>115</v>
      </c>
      <c r="C57" s="115">
        <v>232</v>
      </c>
      <c r="D57" s="8">
        <v>145.317</v>
      </c>
      <c r="E57" s="383"/>
      <c r="F57" s="248"/>
      <c r="G57" s="371"/>
      <c r="H57" s="248"/>
      <c r="I57" s="14"/>
      <c r="J57" s="15"/>
      <c r="K57" s="14"/>
      <c r="L57" s="15"/>
      <c r="M57" s="14"/>
      <c r="N57" s="15"/>
    </row>
    <row r="58" spans="1:14" ht="13.5" thickBot="1">
      <c r="A58" s="266"/>
      <c r="B58" s="148" t="s">
        <v>114</v>
      </c>
      <c r="C58" s="128">
        <v>6060</v>
      </c>
      <c r="D58" s="22">
        <v>1.197</v>
      </c>
      <c r="E58" s="253"/>
      <c r="F58" s="254"/>
      <c r="G58" s="268"/>
      <c r="H58" s="254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56" t="s">
        <v>32</v>
      </c>
      <c r="B60" s="256"/>
      <c r="C60" s="256"/>
      <c r="D60" s="25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1"/>
      <c r="J61" s="1"/>
      <c r="K61" s="1" t="s">
        <v>118</v>
      </c>
      <c r="L61" s="1"/>
      <c r="M61" s="1"/>
      <c r="N61" s="33"/>
    </row>
    <row r="62" spans="1:14" s="37" customFormat="1" ht="12.75">
      <c r="A62" s="33"/>
      <c r="B62" s="256" t="s">
        <v>35</v>
      </c>
      <c r="C62" s="256"/>
      <c r="D62" s="256"/>
      <c r="E62" s="257"/>
      <c r="F62" s="33"/>
      <c r="G62" s="33"/>
      <c r="H62" s="33"/>
      <c r="I62" s="1"/>
      <c r="J62" s="1"/>
      <c r="K62" s="1" t="s">
        <v>119</v>
      </c>
      <c r="L62" s="1"/>
      <c r="M62" s="1"/>
      <c r="N62" s="33"/>
    </row>
    <row r="63" spans="1:14" s="37" customFormat="1" ht="12.75">
      <c r="A63" s="33"/>
      <c r="B63" s="256" t="s">
        <v>34</v>
      </c>
      <c r="C63" s="256"/>
      <c r="D63" s="256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79"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H39:H42"/>
    <mergeCell ref="E39:E42"/>
    <mergeCell ref="F39:F42"/>
    <mergeCell ref="H43:H46"/>
    <mergeCell ref="A43:A46"/>
    <mergeCell ref="E43:E46"/>
    <mergeCell ref="F43:F46"/>
    <mergeCell ref="A35:A38"/>
    <mergeCell ref="E35:E38"/>
    <mergeCell ref="F35:F38"/>
    <mergeCell ref="G35:G38"/>
    <mergeCell ref="G51:G54"/>
    <mergeCell ref="A39:A42"/>
    <mergeCell ref="G39:G42"/>
    <mergeCell ref="I1:K1"/>
    <mergeCell ref="I2:K2"/>
    <mergeCell ref="I3:K3"/>
    <mergeCell ref="K9:L9"/>
    <mergeCell ref="A27:A30"/>
    <mergeCell ref="E27:E30"/>
    <mergeCell ref="F27:F30"/>
    <mergeCell ref="G27:G30"/>
    <mergeCell ref="B9:C1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H35:H38"/>
    <mergeCell ref="F11:F14"/>
    <mergeCell ref="E15:E18"/>
    <mergeCell ref="F15:F18"/>
    <mergeCell ref="E19:E22"/>
    <mergeCell ref="F19:F22"/>
    <mergeCell ref="B62:E62"/>
    <mergeCell ref="G11:G14"/>
    <mergeCell ref="H11:H14"/>
    <mergeCell ref="H15:H18"/>
    <mergeCell ref="G15:G18"/>
    <mergeCell ref="G19:G22"/>
    <mergeCell ref="H19:H22"/>
    <mergeCell ref="H31:H34"/>
    <mergeCell ref="A31:A34"/>
    <mergeCell ref="E31:E34"/>
    <mergeCell ref="F31:F34"/>
    <mergeCell ref="G31:G34"/>
    <mergeCell ref="F23:F26"/>
    <mergeCell ref="E23:E26"/>
    <mergeCell ref="G23:G26"/>
    <mergeCell ref="H23:H26"/>
    <mergeCell ref="G43:G46"/>
    <mergeCell ref="H47:H50"/>
    <mergeCell ref="A47:A50"/>
    <mergeCell ref="E47:E50"/>
    <mergeCell ref="F47:F50"/>
    <mergeCell ref="G47:G5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31">
      <selection activeCell="K37" sqref="K3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00" t="s">
        <v>29</v>
      </c>
      <c r="J1" s="400"/>
      <c r="K1" s="40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00" t="s">
        <v>2</v>
      </c>
      <c r="J2" s="400"/>
      <c r="K2" s="40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00" t="s">
        <v>3</v>
      </c>
      <c r="J3" s="400"/>
      <c r="K3" s="4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408" t="s">
        <v>27</v>
      </c>
      <c r="H9" s="409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264"/>
      <c r="C10" s="265"/>
      <c r="D10" s="248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20" t="s">
        <v>103</v>
      </c>
      <c r="C11" s="121">
        <v>103</v>
      </c>
      <c r="D11" s="122">
        <f>5.25+2.599+0.093</f>
        <v>7.942</v>
      </c>
      <c r="E11" s="88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4"/>
      <c r="B12" s="84" t="s">
        <v>115</v>
      </c>
      <c r="C12" s="115">
        <v>17.25</v>
      </c>
      <c r="D12" s="129">
        <v>45.412</v>
      </c>
      <c r="E12" s="85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20" t="s">
        <v>103</v>
      </c>
      <c r="C13" s="114">
        <v>142</v>
      </c>
      <c r="D13" s="122">
        <f>5.25+2.599+0.093</f>
        <v>7.942</v>
      </c>
      <c r="E13" s="76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115</v>
      </c>
      <c r="C14" s="114">
        <v>17.25</v>
      </c>
      <c r="D14" s="129"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18" t="s">
        <v>18</v>
      </c>
      <c r="B15" s="120" t="s">
        <v>103</v>
      </c>
      <c r="C15" s="117">
        <v>178</v>
      </c>
      <c r="D15" s="122">
        <f>5.25+2.599+0.093</f>
        <v>7.942</v>
      </c>
      <c r="E15" s="119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8"/>
      <c r="B16" s="84" t="s">
        <v>115</v>
      </c>
      <c r="C16" s="117">
        <v>17.25</v>
      </c>
      <c r="D16" s="129">
        <v>45.412</v>
      </c>
      <c r="E16" s="119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18" t="s">
        <v>19</v>
      </c>
      <c r="B17" s="120" t="s">
        <v>103</v>
      </c>
      <c r="C17" s="117">
        <v>149</v>
      </c>
      <c r="D17" s="122">
        <f>5.25+2.599+0.093</f>
        <v>7.942</v>
      </c>
      <c r="E17" s="119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8"/>
      <c r="B18" s="84" t="s">
        <v>115</v>
      </c>
      <c r="C18" s="117">
        <v>17.25</v>
      </c>
      <c r="D18" s="129">
        <v>45.412</v>
      </c>
      <c r="E18" s="119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18" t="s">
        <v>20</v>
      </c>
      <c r="B19" s="120" t="s">
        <v>103</v>
      </c>
      <c r="C19" s="117">
        <v>72</v>
      </c>
      <c r="D19" s="122">
        <f>5.25+2.599+0.093</f>
        <v>7.942</v>
      </c>
      <c r="E19" s="119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8"/>
      <c r="B20" s="84" t="s">
        <v>115</v>
      </c>
      <c r="C20" s="117">
        <v>17.25</v>
      </c>
      <c r="D20" s="129">
        <v>45.412</v>
      </c>
      <c r="E20" s="119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18" t="s">
        <v>21</v>
      </c>
      <c r="B21" s="120" t="s">
        <v>103</v>
      </c>
      <c r="C21" s="117">
        <v>0</v>
      </c>
      <c r="D21" s="122">
        <f>5.25+2.599+0.093</f>
        <v>7.942</v>
      </c>
      <c r="E21" s="119">
        <v>5</v>
      </c>
      <c r="F21" s="5">
        <v>25.76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8"/>
      <c r="B22" s="84" t="s">
        <v>115</v>
      </c>
      <c r="C22" s="117">
        <v>17.25</v>
      </c>
      <c r="D22" s="129">
        <v>45.412</v>
      </c>
      <c r="E22" s="119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18" t="s">
        <v>70</v>
      </c>
      <c r="B23" s="120" t="s">
        <v>103</v>
      </c>
      <c r="C23" s="117">
        <v>0</v>
      </c>
      <c r="D23" s="122">
        <f>5.25+2.599+0.093</f>
        <v>7.942</v>
      </c>
      <c r="E23" s="119">
        <v>0</v>
      </c>
      <c r="F23" s="5">
        <v>0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8"/>
      <c r="B24" s="84" t="s">
        <v>115</v>
      </c>
      <c r="C24" s="117">
        <v>17.25</v>
      </c>
      <c r="D24" s="129">
        <v>45.412</v>
      </c>
      <c r="E24" s="119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18" t="s">
        <v>22</v>
      </c>
      <c r="B25" s="120" t="s">
        <v>103</v>
      </c>
      <c r="C25" s="117">
        <v>145</v>
      </c>
      <c r="D25" s="124">
        <f>5.37+2.599+0.093</f>
        <v>8.062000000000001</v>
      </c>
      <c r="E25" s="119">
        <v>1</v>
      </c>
      <c r="F25" s="5">
        <v>25.76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8"/>
      <c r="B26" s="84" t="s">
        <v>115</v>
      </c>
      <c r="C26" s="117">
        <v>17.25</v>
      </c>
      <c r="D26" s="124">
        <v>45.412</v>
      </c>
      <c r="E26" s="119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18" t="s">
        <v>23</v>
      </c>
      <c r="B27" s="120" t="s">
        <v>103</v>
      </c>
      <c r="C27" s="117">
        <v>89</v>
      </c>
      <c r="D27" s="124">
        <f>5.37+2.599+0.093</f>
        <v>8.062000000000001</v>
      </c>
      <c r="E27" s="119">
        <v>5</v>
      </c>
      <c r="F27" s="5">
        <v>25.76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8"/>
      <c r="B28" s="84" t="s">
        <v>115</v>
      </c>
      <c r="C28" s="117">
        <v>17.25</v>
      </c>
      <c r="D28" s="124">
        <v>45.412</v>
      </c>
      <c r="E28" s="119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18" t="s">
        <v>24</v>
      </c>
      <c r="B29" s="120" t="s">
        <v>103</v>
      </c>
      <c r="C29" s="117">
        <v>177</v>
      </c>
      <c r="D29" s="124">
        <f>5.37+2.599+0.093</f>
        <v>8.062000000000001</v>
      </c>
      <c r="E29" s="119">
        <v>4</v>
      </c>
      <c r="F29" s="5">
        <v>25.76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8"/>
      <c r="B30" s="84" t="s">
        <v>115</v>
      </c>
      <c r="C30" s="117">
        <v>17.25</v>
      </c>
      <c r="D30" s="124">
        <v>45.412</v>
      </c>
      <c r="E30" s="119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18" t="s">
        <v>25</v>
      </c>
      <c r="B31" s="120" t="s">
        <v>103</v>
      </c>
      <c r="C31" s="117">
        <v>94</v>
      </c>
      <c r="D31" s="124">
        <v>8.062</v>
      </c>
      <c r="E31" s="119">
        <v>2</v>
      </c>
      <c r="F31" s="5">
        <v>25.76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115</v>
      </c>
      <c r="C32" s="114">
        <v>17.25</v>
      </c>
      <c r="D32" s="123">
        <v>45.412</v>
      </c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20" t="s">
        <v>103</v>
      </c>
      <c r="C33" s="114">
        <v>90</v>
      </c>
      <c r="D33" s="123">
        <v>8.062</v>
      </c>
      <c r="E33" s="76">
        <v>3</v>
      </c>
      <c r="F33" s="15">
        <v>25.76</v>
      </c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203"/>
      <c r="B34" s="204" t="s">
        <v>115</v>
      </c>
      <c r="C34" s="205">
        <v>17.25</v>
      </c>
      <c r="D34" s="206">
        <v>45.412</v>
      </c>
      <c r="E34" s="207"/>
      <c r="F34" s="202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56"/>
      <c r="B36" s="256"/>
      <c r="C36" s="256"/>
      <c r="D36" s="25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1"/>
      <c r="J37" s="1"/>
      <c r="K37" s="1" t="s">
        <v>118</v>
      </c>
      <c r="L37" s="1"/>
      <c r="M37" s="1"/>
      <c r="N37" s="33"/>
    </row>
    <row r="38" spans="1:14" s="37" customFormat="1" ht="12.75">
      <c r="A38" s="33"/>
      <c r="B38" s="256"/>
      <c r="C38" s="256"/>
      <c r="D38" s="256"/>
      <c r="E38" s="257"/>
      <c r="F38" s="33"/>
      <c r="G38" s="33"/>
      <c r="H38" s="33"/>
      <c r="I38" s="1"/>
      <c r="J38" s="1"/>
      <c r="K38" s="1" t="s">
        <v>119</v>
      </c>
      <c r="L38" s="1"/>
      <c r="M38" s="1"/>
      <c r="N38" s="33"/>
    </row>
    <row r="39" spans="1:14" s="37" customFormat="1" ht="12.75">
      <c r="A39" s="33"/>
      <c r="B39" s="256"/>
      <c r="C39" s="256"/>
      <c r="D39" s="25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19">
    <mergeCell ref="K9:L9"/>
    <mergeCell ref="F9:F10"/>
    <mergeCell ref="G9:H9"/>
    <mergeCell ref="E9:E10"/>
    <mergeCell ref="B38:E38"/>
    <mergeCell ref="B39:D39"/>
    <mergeCell ref="A36:D36"/>
    <mergeCell ref="B9:C10"/>
    <mergeCell ref="I9:J9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34">
      <selection activeCell="I47" sqref="I47:M48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5" customHeight="1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5" customHeight="1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5" customHeight="1" thickTop="1">
      <c r="A9" s="250"/>
      <c r="B9" s="252" t="s">
        <v>8</v>
      </c>
      <c r="C9" s="87"/>
      <c r="D9" s="247" t="s">
        <v>9</v>
      </c>
      <c r="E9" s="252" t="s">
        <v>10</v>
      </c>
      <c r="F9" s="247" t="s">
        <v>9</v>
      </c>
      <c r="G9" s="408" t="s">
        <v>27</v>
      </c>
      <c r="H9" s="409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customHeight="1" thickBot="1">
      <c r="A10" s="251"/>
      <c r="B10" s="383"/>
      <c r="C10" s="115"/>
      <c r="D10" s="248"/>
      <c r="E10" s="253"/>
      <c r="F10" s="254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55" t="s">
        <v>16</v>
      </c>
      <c r="B11" s="140" t="s">
        <v>101</v>
      </c>
      <c r="C11" s="140">
        <f>47+48</f>
        <v>95</v>
      </c>
      <c r="D11" s="140">
        <f>5.91+2.971+0.093</f>
        <v>8.974</v>
      </c>
      <c r="E11" s="88"/>
      <c r="F11" s="6"/>
      <c r="G11" s="9"/>
      <c r="H11" s="150"/>
      <c r="I11" s="436"/>
      <c r="J11" s="436"/>
      <c r="K11" s="140"/>
      <c r="L11" s="140"/>
      <c r="M11" s="140"/>
      <c r="N11" s="140"/>
    </row>
    <row r="12" spans="1:14" ht="15" customHeight="1">
      <c r="A12" s="228"/>
      <c r="B12" s="141" t="s">
        <v>113</v>
      </c>
      <c r="C12" s="141">
        <v>17.25</v>
      </c>
      <c r="D12" s="141">
        <v>45.412</v>
      </c>
      <c r="E12" s="86"/>
      <c r="F12" s="22"/>
      <c r="G12" s="12"/>
      <c r="H12" s="149"/>
      <c r="I12" s="438"/>
      <c r="J12" s="438"/>
      <c r="K12" s="140"/>
      <c r="L12" s="140"/>
      <c r="M12" s="140"/>
      <c r="N12" s="140"/>
    </row>
    <row r="13" spans="1:14" ht="15" customHeight="1">
      <c r="A13" s="227" t="s">
        <v>17</v>
      </c>
      <c r="B13" s="140" t="s">
        <v>101</v>
      </c>
      <c r="C13" s="140">
        <v>1316</v>
      </c>
      <c r="D13" s="140">
        <v>8.974</v>
      </c>
      <c r="E13" s="85"/>
      <c r="F13" s="8"/>
      <c r="G13" s="12"/>
      <c r="H13" s="149"/>
      <c r="I13" s="436"/>
      <c r="J13" s="436"/>
      <c r="K13" s="140"/>
      <c r="L13" s="140"/>
      <c r="M13" s="140"/>
      <c r="N13" s="140"/>
    </row>
    <row r="14" spans="1:14" ht="15" customHeight="1">
      <c r="A14" s="444"/>
      <c r="B14" s="140" t="s">
        <v>102</v>
      </c>
      <c r="C14" s="140">
        <v>14</v>
      </c>
      <c r="D14" s="140">
        <f>3.94+2.971+0.093</f>
        <v>7.004</v>
      </c>
      <c r="E14" s="85"/>
      <c r="F14" s="8"/>
      <c r="G14" s="12"/>
      <c r="H14" s="149"/>
      <c r="I14" s="437"/>
      <c r="J14" s="437"/>
      <c r="K14" s="140"/>
      <c r="L14" s="140"/>
      <c r="M14" s="140"/>
      <c r="N14" s="140"/>
    </row>
    <row r="15" spans="1:14" ht="15" customHeight="1">
      <c r="A15" s="228"/>
      <c r="B15" s="140" t="s">
        <v>115</v>
      </c>
      <c r="C15" s="140">
        <v>17.25</v>
      </c>
      <c r="D15" s="140">
        <v>45.412</v>
      </c>
      <c r="E15" s="76"/>
      <c r="F15" s="16"/>
      <c r="G15" s="11"/>
      <c r="H15" s="151"/>
      <c r="I15" s="438"/>
      <c r="J15" s="438"/>
      <c r="K15" s="119"/>
      <c r="L15" s="5"/>
      <c r="M15" s="4"/>
      <c r="N15" s="5"/>
    </row>
    <row r="16" spans="1:14" ht="15" customHeight="1">
      <c r="A16" s="227" t="s">
        <v>18</v>
      </c>
      <c r="B16" s="140" t="s">
        <v>101</v>
      </c>
      <c r="C16" s="140">
        <v>1170</v>
      </c>
      <c r="D16" s="140">
        <v>8.974</v>
      </c>
      <c r="E16" s="76"/>
      <c r="F16" s="16"/>
      <c r="G16" s="11"/>
      <c r="H16" s="13" t="s">
        <v>109</v>
      </c>
      <c r="I16" s="382"/>
      <c r="J16" s="225"/>
      <c r="K16" s="4"/>
      <c r="L16" s="5"/>
      <c r="M16" s="4"/>
      <c r="N16" s="5"/>
    </row>
    <row r="17" spans="1:14" ht="15" customHeight="1">
      <c r="A17" s="444"/>
      <c r="B17" s="141" t="s">
        <v>102</v>
      </c>
      <c r="C17" s="140">
        <v>0</v>
      </c>
      <c r="D17" s="140">
        <v>0</v>
      </c>
      <c r="E17" s="76"/>
      <c r="F17" s="16"/>
      <c r="G17" s="11"/>
      <c r="H17" s="13"/>
      <c r="I17" s="383"/>
      <c r="J17" s="248"/>
      <c r="K17" s="4"/>
      <c r="L17" s="5"/>
      <c r="M17" s="4"/>
      <c r="N17" s="5"/>
    </row>
    <row r="18" spans="1:14" ht="15" customHeight="1">
      <c r="A18" s="444"/>
      <c r="B18" s="140" t="s">
        <v>115</v>
      </c>
      <c r="C18" s="140">
        <v>34.5</v>
      </c>
      <c r="D18" s="140">
        <v>45.412</v>
      </c>
      <c r="E18" s="76"/>
      <c r="F18" s="16"/>
      <c r="G18" s="11"/>
      <c r="H18" s="13"/>
      <c r="I18" s="377"/>
      <c r="J18" s="226"/>
      <c r="K18" s="4"/>
      <c r="L18" s="5"/>
      <c r="M18" s="4"/>
      <c r="N18" s="5"/>
    </row>
    <row r="19" spans="1:14" ht="15" customHeight="1">
      <c r="A19" s="445" t="s">
        <v>19</v>
      </c>
      <c r="B19" s="140" t="s">
        <v>101</v>
      </c>
      <c r="C19" s="117">
        <f>49+109</f>
        <v>158</v>
      </c>
      <c r="D19" s="140">
        <v>8.974</v>
      </c>
      <c r="E19" s="119"/>
      <c r="F19" s="5"/>
      <c r="G19" s="4"/>
      <c r="H19" s="5"/>
      <c r="I19" s="382">
        <v>2000</v>
      </c>
      <c r="J19" s="225">
        <v>138.7</v>
      </c>
      <c r="K19" s="4"/>
      <c r="L19" s="5"/>
      <c r="M19" s="4"/>
      <c r="N19" s="5"/>
    </row>
    <row r="20" spans="1:14" ht="15" customHeight="1">
      <c r="A20" s="446"/>
      <c r="B20" s="141" t="s">
        <v>102</v>
      </c>
      <c r="C20" s="117">
        <v>0</v>
      </c>
      <c r="D20" s="140">
        <v>0</v>
      </c>
      <c r="E20" s="119"/>
      <c r="F20" s="5"/>
      <c r="G20" s="4"/>
      <c r="H20" s="5"/>
      <c r="I20" s="383"/>
      <c r="J20" s="248"/>
      <c r="K20" s="4"/>
      <c r="L20" s="5"/>
      <c r="M20" s="4"/>
      <c r="N20" s="5"/>
    </row>
    <row r="21" spans="1:14" ht="15" customHeight="1">
      <c r="A21" s="447"/>
      <c r="B21" s="140" t="s">
        <v>115</v>
      </c>
      <c r="C21" s="117">
        <v>34.5</v>
      </c>
      <c r="D21" s="140">
        <v>45.412</v>
      </c>
      <c r="E21" s="119"/>
      <c r="F21" s="5"/>
      <c r="G21" s="4"/>
      <c r="H21" s="5"/>
      <c r="I21" s="377"/>
      <c r="J21" s="226"/>
      <c r="K21" s="4"/>
      <c r="L21" s="5"/>
      <c r="M21" s="4"/>
      <c r="N21" s="5"/>
    </row>
    <row r="22" spans="1:14" ht="15" customHeight="1">
      <c r="A22" s="445" t="s">
        <v>20</v>
      </c>
      <c r="B22" s="140" t="s">
        <v>101</v>
      </c>
      <c r="C22" s="117">
        <v>40</v>
      </c>
      <c r="D22" s="140">
        <v>8.974</v>
      </c>
      <c r="E22" s="119"/>
      <c r="F22" s="5"/>
      <c r="G22" s="4"/>
      <c r="H22" s="5"/>
      <c r="I22" s="382"/>
      <c r="J22" s="225"/>
      <c r="K22" s="4"/>
      <c r="L22" s="5"/>
      <c r="M22" s="4"/>
      <c r="N22" s="5"/>
    </row>
    <row r="23" spans="1:14" ht="15" customHeight="1">
      <c r="A23" s="446"/>
      <c r="B23" s="141" t="s">
        <v>102</v>
      </c>
      <c r="C23" s="117">
        <v>0</v>
      </c>
      <c r="D23" s="140">
        <v>0</v>
      </c>
      <c r="E23" s="119"/>
      <c r="F23" s="5"/>
      <c r="G23" s="4"/>
      <c r="H23" s="5"/>
      <c r="I23" s="383"/>
      <c r="J23" s="248"/>
      <c r="K23" s="4"/>
      <c r="L23" s="5"/>
      <c r="M23" s="4"/>
      <c r="N23" s="5"/>
    </row>
    <row r="24" spans="1:14" ht="15" customHeight="1">
      <c r="A24" s="447"/>
      <c r="B24" s="140" t="s">
        <v>115</v>
      </c>
      <c r="C24" s="117">
        <v>34.5</v>
      </c>
      <c r="D24" s="140">
        <v>45.412</v>
      </c>
      <c r="E24" s="119"/>
      <c r="F24" s="5"/>
      <c r="G24" s="4"/>
      <c r="H24" s="5"/>
      <c r="I24" s="377"/>
      <c r="J24" s="226"/>
      <c r="K24" s="4"/>
      <c r="L24" s="5"/>
      <c r="M24" s="4"/>
      <c r="N24" s="5"/>
    </row>
    <row r="25" spans="1:14" ht="15" customHeight="1">
      <c r="A25" s="445" t="s">
        <v>21</v>
      </c>
      <c r="B25" s="140" t="s">
        <v>101</v>
      </c>
      <c r="C25" s="117">
        <v>32</v>
      </c>
      <c r="D25" s="140">
        <v>8.974</v>
      </c>
      <c r="E25" s="119"/>
      <c r="F25" s="5"/>
      <c r="G25" s="4"/>
      <c r="H25" s="5"/>
      <c r="I25" s="382"/>
      <c r="J25" s="225"/>
      <c r="K25" s="4"/>
      <c r="L25" s="5"/>
      <c r="M25" s="4"/>
      <c r="N25" s="5"/>
    </row>
    <row r="26" spans="1:14" ht="15" customHeight="1">
      <c r="A26" s="446"/>
      <c r="B26" s="141" t="s">
        <v>102</v>
      </c>
      <c r="C26" s="117">
        <v>0</v>
      </c>
      <c r="D26" s="140">
        <v>0</v>
      </c>
      <c r="E26" s="119"/>
      <c r="F26" s="5"/>
      <c r="G26" s="4"/>
      <c r="H26" s="5"/>
      <c r="I26" s="383"/>
      <c r="J26" s="248"/>
      <c r="K26" s="4"/>
      <c r="L26" s="5"/>
      <c r="M26" s="4"/>
      <c r="N26" s="5"/>
    </row>
    <row r="27" spans="1:14" ht="15" customHeight="1">
      <c r="A27" s="447"/>
      <c r="B27" s="140" t="s">
        <v>115</v>
      </c>
      <c r="C27" s="117">
        <v>34.5</v>
      </c>
      <c r="D27" s="140">
        <v>45.412</v>
      </c>
      <c r="E27" s="119"/>
      <c r="F27" s="5"/>
      <c r="G27" s="4"/>
      <c r="H27" s="5"/>
      <c r="I27" s="377"/>
      <c r="J27" s="226"/>
      <c r="K27" s="4"/>
      <c r="L27" s="5"/>
      <c r="M27" s="4"/>
      <c r="N27" s="5"/>
    </row>
    <row r="28" spans="1:14" ht="15" customHeight="1">
      <c r="A28" s="445" t="s">
        <v>70</v>
      </c>
      <c r="B28" s="140" t="s">
        <v>101</v>
      </c>
      <c r="C28" s="117">
        <v>11</v>
      </c>
      <c r="D28" s="140">
        <v>8.974</v>
      </c>
      <c r="E28" s="119"/>
      <c r="F28" s="5"/>
      <c r="G28" s="4"/>
      <c r="H28" s="5"/>
      <c r="I28" s="382"/>
      <c r="J28" s="225"/>
      <c r="K28" s="4"/>
      <c r="L28" s="5"/>
      <c r="M28" s="4"/>
      <c r="N28" s="5"/>
    </row>
    <row r="29" spans="1:14" ht="15" customHeight="1">
      <c r="A29" s="446"/>
      <c r="B29" s="141" t="s">
        <v>102</v>
      </c>
      <c r="C29" s="117">
        <v>0</v>
      </c>
      <c r="D29" s="140">
        <v>0</v>
      </c>
      <c r="E29" s="119"/>
      <c r="F29" s="5"/>
      <c r="G29" s="4"/>
      <c r="H29" s="5"/>
      <c r="I29" s="383"/>
      <c r="J29" s="248"/>
      <c r="K29" s="4"/>
      <c r="L29" s="5"/>
      <c r="M29" s="4"/>
      <c r="N29" s="5"/>
    </row>
    <row r="30" spans="1:14" ht="15" customHeight="1">
      <c r="A30" s="447"/>
      <c r="B30" s="140" t="s">
        <v>115</v>
      </c>
      <c r="C30" s="117">
        <v>34.5</v>
      </c>
      <c r="D30" s="140">
        <v>45.412</v>
      </c>
      <c r="E30" s="119"/>
      <c r="F30" s="5"/>
      <c r="G30" s="4"/>
      <c r="H30" s="5"/>
      <c r="I30" s="377"/>
      <c r="J30" s="226"/>
      <c r="K30" s="4"/>
      <c r="L30" s="5"/>
      <c r="M30" s="4"/>
      <c r="N30" s="5"/>
    </row>
    <row r="31" spans="1:14" ht="15" customHeight="1">
      <c r="A31" s="445" t="s">
        <v>22</v>
      </c>
      <c r="B31" s="140" t="s">
        <v>101</v>
      </c>
      <c r="C31" s="170">
        <v>0</v>
      </c>
      <c r="D31" s="140">
        <v>8.974</v>
      </c>
      <c r="E31" s="119"/>
      <c r="F31" s="5"/>
      <c r="G31" s="4"/>
      <c r="H31" s="5"/>
      <c r="I31" s="382"/>
      <c r="J31" s="225"/>
      <c r="K31" s="4"/>
      <c r="L31" s="5"/>
      <c r="M31" s="4"/>
      <c r="N31" s="5"/>
    </row>
    <row r="32" spans="1:14" ht="15" customHeight="1">
      <c r="A32" s="446"/>
      <c r="B32" s="141" t="s">
        <v>102</v>
      </c>
      <c r="C32" s="117">
        <v>29</v>
      </c>
      <c r="D32" s="140">
        <v>0</v>
      </c>
      <c r="E32" s="119"/>
      <c r="F32" s="5"/>
      <c r="G32" s="4"/>
      <c r="H32" s="5"/>
      <c r="I32" s="383"/>
      <c r="J32" s="248"/>
      <c r="K32" s="4"/>
      <c r="L32" s="5"/>
      <c r="M32" s="4"/>
      <c r="N32" s="5"/>
    </row>
    <row r="33" spans="1:14" ht="15" customHeight="1">
      <c r="A33" s="447"/>
      <c r="B33" s="140" t="s">
        <v>115</v>
      </c>
      <c r="C33" s="117">
        <v>34.5</v>
      </c>
      <c r="D33" s="140">
        <v>45.412</v>
      </c>
      <c r="E33" s="119"/>
      <c r="F33" s="5"/>
      <c r="G33" s="4"/>
      <c r="H33" s="5"/>
      <c r="I33" s="377"/>
      <c r="J33" s="226"/>
      <c r="K33" s="4"/>
      <c r="L33" s="5"/>
      <c r="M33" s="4"/>
      <c r="N33" s="5"/>
    </row>
    <row r="34" spans="1:14" ht="15" customHeight="1">
      <c r="A34" s="227" t="s">
        <v>23</v>
      </c>
      <c r="B34" s="140" t="s">
        <v>101</v>
      </c>
      <c r="C34" s="140">
        <v>147</v>
      </c>
      <c r="D34" s="140">
        <v>8.974</v>
      </c>
      <c r="E34" s="119"/>
      <c r="F34" s="5"/>
      <c r="G34" s="4"/>
      <c r="H34" s="5"/>
      <c r="I34" s="382"/>
      <c r="J34" s="225"/>
      <c r="K34" s="4"/>
      <c r="L34" s="5"/>
      <c r="M34" s="4"/>
      <c r="N34" s="5"/>
    </row>
    <row r="35" spans="1:14" ht="15" customHeight="1">
      <c r="A35" s="444"/>
      <c r="B35" s="141" t="s">
        <v>102</v>
      </c>
      <c r="C35" s="140">
        <v>2</v>
      </c>
      <c r="D35" s="140">
        <v>0</v>
      </c>
      <c r="E35" s="119"/>
      <c r="F35" s="5"/>
      <c r="G35" s="4"/>
      <c r="H35" s="5"/>
      <c r="I35" s="383"/>
      <c r="J35" s="248"/>
      <c r="K35" s="4"/>
      <c r="L35" s="5"/>
      <c r="M35" s="4"/>
      <c r="N35" s="5"/>
    </row>
    <row r="36" spans="1:14" ht="15" customHeight="1">
      <c r="A36" s="228"/>
      <c r="B36" s="140" t="s">
        <v>115</v>
      </c>
      <c r="C36" s="140">
        <v>34.5</v>
      </c>
      <c r="D36" s="140">
        <v>45.412</v>
      </c>
      <c r="E36" s="119"/>
      <c r="F36" s="5"/>
      <c r="G36" s="4"/>
      <c r="H36" s="5"/>
      <c r="I36" s="377"/>
      <c r="J36" s="226"/>
      <c r="K36" s="4"/>
      <c r="L36" s="5"/>
      <c r="M36" s="4"/>
      <c r="N36" s="5"/>
    </row>
    <row r="37" spans="1:14" ht="15" customHeight="1">
      <c r="A37" s="227" t="s">
        <v>24</v>
      </c>
      <c r="B37" s="140" t="s">
        <v>101</v>
      </c>
      <c r="C37" s="152">
        <f>1630+161</f>
        <v>1791</v>
      </c>
      <c r="D37" s="140">
        <v>8.974</v>
      </c>
      <c r="E37" s="119"/>
      <c r="F37" s="5"/>
      <c r="G37" s="4"/>
      <c r="H37" s="5"/>
      <c r="I37" s="382">
        <v>1501</v>
      </c>
      <c r="J37" s="225">
        <f>128.16</f>
        <v>128.16</v>
      </c>
      <c r="K37" s="4"/>
      <c r="L37" s="5"/>
      <c r="M37" s="4"/>
      <c r="N37" s="5"/>
    </row>
    <row r="38" spans="1:14" ht="15" customHeight="1">
      <c r="A38" s="444"/>
      <c r="B38" s="141" t="s">
        <v>102</v>
      </c>
      <c r="C38" s="152">
        <v>17</v>
      </c>
      <c r="D38" s="140">
        <v>0</v>
      </c>
      <c r="E38" s="119"/>
      <c r="F38" s="5"/>
      <c r="G38" s="4"/>
      <c r="H38" s="5"/>
      <c r="I38" s="383"/>
      <c r="J38" s="248"/>
      <c r="K38" s="4"/>
      <c r="L38" s="5"/>
      <c r="M38" s="4"/>
      <c r="N38" s="5"/>
    </row>
    <row r="39" spans="1:14" ht="15" customHeight="1">
      <c r="A39" s="228"/>
      <c r="B39" s="140" t="s">
        <v>115</v>
      </c>
      <c r="C39" s="140">
        <v>34.5</v>
      </c>
      <c r="D39" s="140">
        <v>45.412</v>
      </c>
      <c r="E39" s="119"/>
      <c r="F39" s="5"/>
      <c r="G39" s="4"/>
      <c r="H39" s="5"/>
      <c r="I39" s="377"/>
      <c r="J39" s="226"/>
      <c r="K39" s="4"/>
      <c r="L39" s="5"/>
      <c r="M39" s="4"/>
      <c r="N39" s="5"/>
    </row>
    <row r="40" spans="1:14" ht="15" customHeight="1">
      <c r="A40" s="227" t="s">
        <v>25</v>
      </c>
      <c r="B40" s="140" t="s">
        <v>101</v>
      </c>
      <c r="C40" s="140">
        <f>68+53</f>
        <v>121</v>
      </c>
      <c r="D40" s="140">
        <v>8.974</v>
      </c>
      <c r="E40" s="119"/>
      <c r="F40" s="5"/>
      <c r="G40" s="4"/>
      <c r="H40" s="5"/>
      <c r="I40" s="382"/>
      <c r="J40" s="225"/>
      <c r="K40" s="4"/>
      <c r="L40" s="5"/>
      <c r="M40" s="4"/>
      <c r="N40" s="5"/>
    </row>
    <row r="41" spans="1:14" ht="15" customHeight="1">
      <c r="A41" s="444"/>
      <c r="B41" s="141" t="s">
        <v>102</v>
      </c>
      <c r="C41" s="140">
        <v>0</v>
      </c>
      <c r="D41" s="140">
        <v>0</v>
      </c>
      <c r="E41" s="119"/>
      <c r="F41" s="5"/>
      <c r="G41" s="4"/>
      <c r="H41" s="5"/>
      <c r="I41" s="383"/>
      <c r="J41" s="248"/>
      <c r="K41" s="4"/>
      <c r="L41" s="5"/>
      <c r="M41" s="4"/>
      <c r="N41" s="5"/>
    </row>
    <row r="42" spans="1:14" ht="15" customHeight="1">
      <c r="A42" s="228"/>
      <c r="B42" s="140" t="s">
        <v>115</v>
      </c>
      <c r="C42" s="140">
        <v>34.5</v>
      </c>
      <c r="D42" s="140">
        <v>45.412</v>
      </c>
      <c r="E42" s="119"/>
      <c r="F42" s="5"/>
      <c r="G42" s="4"/>
      <c r="H42" s="5"/>
      <c r="I42" s="377"/>
      <c r="J42" s="226"/>
      <c r="K42" s="4"/>
      <c r="L42" s="5"/>
      <c r="M42" s="4"/>
      <c r="N42" s="5"/>
    </row>
    <row r="43" spans="1:14" ht="15" customHeight="1">
      <c r="A43" s="227" t="s">
        <v>26</v>
      </c>
      <c r="B43" s="140" t="s">
        <v>101</v>
      </c>
      <c r="C43" s="152">
        <f>62+68</f>
        <v>130</v>
      </c>
      <c r="D43" s="140">
        <v>8.974</v>
      </c>
      <c r="E43" s="76"/>
      <c r="F43" s="15"/>
      <c r="G43" s="14"/>
      <c r="H43" s="15"/>
      <c r="I43" s="382"/>
      <c r="J43" s="225"/>
      <c r="K43" s="14"/>
      <c r="L43" s="15"/>
      <c r="M43" s="14"/>
      <c r="N43" s="15"/>
    </row>
    <row r="44" spans="1:14" ht="15" customHeight="1">
      <c r="A44" s="444"/>
      <c r="B44" s="141" t="s">
        <v>102</v>
      </c>
      <c r="C44" s="152">
        <v>0</v>
      </c>
      <c r="D44" s="140">
        <v>0</v>
      </c>
      <c r="E44" s="76"/>
      <c r="F44" s="15"/>
      <c r="G44" s="14"/>
      <c r="H44" s="15"/>
      <c r="I44" s="383"/>
      <c r="J44" s="248"/>
      <c r="K44" s="14"/>
      <c r="L44" s="15"/>
      <c r="M44" s="14"/>
      <c r="N44" s="15"/>
    </row>
    <row r="45" spans="1:14" ht="15" customHeight="1" thickBot="1">
      <c r="A45" s="266"/>
      <c r="B45" s="140" t="s">
        <v>115</v>
      </c>
      <c r="C45" s="140">
        <v>34.5</v>
      </c>
      <c r="D45" s="140">
        <v>45.412</v>
      </c>
      <c r="E45" s="75"/>
      <c r="F45" s="3"/>
      <c r="G45" s="2"/>
      <c r="H45" s="3"/>
      <c r="I45" s="253"/>
      <c r="J45" s="254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9:13" ht="12.75">
      <c r="I47" s="1"/>
      <c r="J47" s="1"/>
      <c r="K47" s="1" t="s">
        <v>118</v>
      </c>
      <c r="L47" s="1"/>
      <c r="M47" s="1"/>
    </row>
    <row r="48" spans="9:13" ht="12.75">
      <c r="I48" s="1"/>
      <c r="J48" s="1"/>
      <c r="K48" s="1" t="s">
        <v>119</v>
      </c>
      <c r="L48" s="1"/>
      <c r="M48" s="1"/>
    </row>
  </sheetData>
  <sheetProtection/>
  <mergeCells count="49">
    <mergeCell ref="A31:A33"/>
    <mergeCell ref="A13:A15"/>
    <mergeCell ref="A16:A18"/>
    <mergeCell ref="A19:A21"/>
    <mergeCell ref="A22:A24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A11:A12"/>
    <mergeCell ref="I9:J9"/>
    <mergeCell ref="K9:L9"/>
    <mergeCell ref="F9:F10"/>
    <mergeCell ref="G9:H9"/>
    <mergeCell ref="A34:A36"/>
    <mergeCell ref="D9:D10"/>
    <mergeCell ref="E9:E10"/>
    <mergeCell ref="A25:A27"/>
    <mergeCell ref="A28:A30"/>
    <mergeCell ref="I19:I21"/>
    <mergeCell ref="J19:J21"/>
    <mergeCell ref="I11:I12"/>
    <mergeCell ref="J11:J12"/>
    <mergeCell ref="I13:I15"/>
    <mergeCell ref="J13:J15"/>
    <mergeCell ref="I16:I18"/>
    <mergeCell ref="J16:J18"/>
    <mergeCell ref="I28:I30"/>
    <mergeCell ref="J28:J30"/>
    <mergeCell ref="I31:I33"/>
    <mergeCell ref="I34:I36"/>
    <mergeCell ref="I22:I24"/>
    <mergeCell ref="J22:J24"/>
    <mergeCell ref="I25:I27"/>
    <mergeCell ref="J25:J27"/>
    <mergeCell ref="I37:I39"/>
    <mergeCell ref="I40:I42"/>
    <mergeCell ref="I43:I45"/>
    <mergeCell ref="J31:J33"/>
    <mergeCell ref="J34:J36"/>
    <mergeCell ref="J37:J39"/>
    <mergeCell ref="J40:J42"/>
    <mergeCell ref="J43:J4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40">
      <selection activeCell="B66" sqref="B6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00" t="s">
        <v>29</v>
      </c>
      <c r="J1" s="400"/>
      <c r="K1" s="40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00" t="s">
        <v>2</v>
      </c>
      <c r="J2" s="400"/>
      <c r="K2" s="40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00" t="s">
        <v>3</v>
      </c>
      <c r="J3" s="400"/>
      <c r="K3" s="4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408" t="s">
        <v>27</v>
      </c>
      <c r="H9" s="409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9" t="s">
        <v>16</v>
      </c>
      <c r="B11" s="61" t="s">
        <v>95</v>
      </c>
      <c r="C11" s="87">
        <v>751</v>
      </c>
      <c r="D11" s="6">
        <f>5.91+2.971+0.093</f>
        <v>8.974</v>
      </c>
      <c r="E11" s="252">
        <v>9</v>
      </c>
      <c r="F11" s="247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70"/>
      <c r="B12" s="65" t="s">
        <v>96</v>
      </c>
      <c r="C12" s="115">
        <v>50</v>
      </c>
      <c r="D12" s="8">
        <f>3.94+2.971+0.093</f>
        <v>7.004</v>
      </c>
      <c r="E12" s="383"/>
      <c r="F12" s="248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70"/>
      <c r="B13" s="65" t="s">
        <v>115</v>
      </c>
      <c r="C13" s="115">
        <v>17.25</v>
      </c>
      <c r="D13" s="8">
        <v>45.412</v>
      </c>
      <c r="E13" s="383"/>
      <c r="F13" s="248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69" t="s">
        <v>17</v>
      </c>
      <c r="B14" s="61" t="s">
        <v>95</v>
      </c>
      <c r="C14" s="114">
        <v>1464</v>
      </c>
      <c r="D14" s="6">
        <f>5.91+2.971+0.093</f>
        <v>8.974</v>
      </c>
      <c r="E14" s="382">
        <v>16</v>
      </c>
      <c r="F14" s="225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70"/>
      <c r="B15" s="65" t="s">
        <v>96</v>
      </c>
      <c r="C15" s="115">
        <v>129</v>
      </c>
      <c r="D15" s="8">
        <f>3.94+2.971+0.093</f>
        <v>7.004</v>
      </c>
      <c r="E15" s="383"/>
      <c r="F15" s="248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70"/>
      <c r="B16" s="65" t="s">
        <v>115</v>
      </c>
      <c r="C16" s="115">
        <v>17.25</v>
      </c>
      <c r="D16" s="8">
        <v>45.412</v>
      </c>
      <c r="E16" s="383"/>
      <c r="F16" s="248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69" t="s">
        <v>18</v>
      </c>
      <c r="B17" s="61" t="s">
        <v>95</v>
      </c>
      <c r="C17" s="114">
        <v>1662</v>
      </c>
      <c r="D17" s="6">
        <f>5.91+2.971+0.093</f>
        <v>8.974</v>
      </c>
      <c r="E17" s="382">
        <v>19</v>
      </c>
      <c r="F17" s="225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70"/>
      <c r="B18" s="65" t="s">
        <v>96</v>
      </c>
      <c r="C18" s="115">
        <v>192</v>
      </c>
      <c r="D18" s="8">
        <f>3.94+2.971+0.093</f>
        <v>7.004</v>
      </c>
      <c r="E18" s="383"/>
      <c r="F18" s="248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70"/>
      <c r="B19" s="65" t="s">
        <v>115</v>
      </c>
      <c r="C19" s="115">
        <v>17.25</v>
      </c>
      <c r="D19" s="8">
        <v>45.412</v>
      </c>
      <c r="E19" s="383"/>
      <c r="F19" s="248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69" t="s">
        <v>19</v>
      </c>
      <c r="B20" s="61" t="s">
        <v>95</v>
      </c>
      <c r="C20" s="114">
        <v>720</v>
      </c>
      <c r="D20" s="6">
        <f>5.91+2.971+0.093</f>
        <v>8.974</v>
      </c>
      <c r="E20" s="382">
        <v>10</v>
      </c>
      <c r="F20" s="225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70"/>
      <c r="B21" s="65" t="s">
        <v>96</v>
      </c>
      <c r="C21" s="115">
        <v>131</v>
      </c>
      <c r="D21" s="8">
        <f>3.94+2.971+0.093</f>
        <v>7.004</v>
      </c>
      <c r="E21" s="383"/>
      <c r="F21" s="248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70"/>
      <c r="B22" s="65" t="s">
        <v>115</v>
      </c>
      <c r="C22" s="115">
        <v>17.25</v>
      </c>
      <c r="D22" s="8">
        <v>45.412</v>
      </c>
      <c r="E22" s="383"/>
      <c r="F22" s="248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69" t="s">
        <v>20</v>
      </c>
      <c r="B23" s="61" t="s">
        <v>95</v>
      </c>
      <c r="C23" s="114">
        <v>225</v>
      </c>
      <c r="D23" s="6">
        <f>5.91+2.971+0.093</f>
        <v>8.974</v>
      </c>
      <c r="E23" s="382">
        <v>16</v>
      </c>
      <c r="F23" s="225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70"/>
      <c r="B24" s="65" t="s">
        <v>96</v>
      </c>
      <c r="C24" s="115">
        <v>94</v>
      </c>
      <c r="D24" s="8">
        <f>3.94+2.971+0.093</f>
        <v>7.004</v>
      </c>
      <c r="E24" s="383"/>
      <c r="F24" s="248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70"/>
      <c r="B25" s="65" t="s">
        <v>115</v>
      </c>
      <c r="C25" s="115">
        <v>17.25</v>
      </c>
      <c r="D25" s="8">
        <v>45.412</v>
      </c>
      <c r="E25" s="383"/>
      <c r="F25" s="248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69" t="s">
        <v>69</v>
      </c>
      <c r="B26" s="61" t="s">
        <v>95</v>
      </c>
      <c r="C26" s="114">
        <v>72</v>
      </c>
      <c r="D26" s="6">
        <f>5.91+2.971+0.093</f>
        <v>8.974</v>
      </c>
      <c r="E26" s="382">
        <v>5</v>
      </c>
      <c r="F26" s="225">
        <v>25.76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70"/>
      <c r="B27" s="65" t="s">
        <v>96</v>
      </c>
      <c r="C27" s="115">
        <v>96</v>
      </c>
      <c r="D27" s="8">
        <f>3.94+2.971+0.093</f>
        <v>7.004</v>
      </c>
      <c r="E27" s="383"/>
      <c r="F27" s="248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70"/>
      <c r="B28" s="65" t="s">
        <v>115</v>
      </c>
      <c r="C28" s="115">
        <v>17.25</v>
      </c>
      <c r="D28" s="8">
        <v>45.412</v>
      </c>
      <c r="E28" s="383"/>
      <c r="F28" s="248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69" t="s">
        <v>70</v>
      </c>
      <c r="B29" s="61" t="s">
        <v>95</v>
      </c>
      <c r="C29" s="114">
        <v>0</v>
      </c>
      <c r="D29" s="6">
        <f>5.91+2.971+0.093</f>
        <v>8.974</v>
      </c>
      <c r="E29" s="382">
        <v>0</v>
      </c>
      <c r="F29" s="225">
        <v>0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70"/>
      <c r="B30" s="65" t="s">
        <v>96</v>
      </c>
      <c r="C30" s="115">
        <v>0</v>
      </c>
      <c r="D30" s="8">
        <f>3.94+2.971+0.093</f>
        <v>7.004</v>
      </c>
      <c r="E30" s="383"/>
      <c r="F30" s="248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70"/>
      <c r="B31" s="65" t="s">
        <v>115</v>
      </c>
      <c r="C31" s="115">
        <v>17.25</v>
      </c>
      <c r="D31" s="8">
        <v>45.412</v>
      </c>
      <c r="E31" s="383"/>
      <c r="F31" s="248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69" t="s">
        <v>22</v>
      </c>
      <c r="B32" s="61" t="s">
        <v>95</v>
      </c>
      <c r="C32" s="114">
        <v>88</v>
      </c>
      <c r="D32" s="15">
        <f>2.971+6.04+0.093</f>
        <v>9.104</v>
      </c>
      <c r="E32" s="382">
        <v>0</v>
      </c>
      <c r="F32" s="225">
        <v>0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70"/>
      <c r="B33" s="65" t="s">
        <v>96</v>
      </c>
      <c r="C33" s="115">
        <v>258</v>
      </c>
      <c r="D33" s="8">
        <f>4.03+0.743+0.093</f>
        <v>4.8660000000000005</v>
      </c>
      <c r="E33" s="383"/>
      <c r="F33" s="248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70"/>
      <c r="B34" s="65" t="s">
        <v>115</v>
      </c>
      <c r="C34" s="115">
        <v>17.25</v>
      </c>
      <c r="D34" s="8">
        <v>45.412</v>
      </c>
      <c r="E34" s="383"/>
      <c r="F34" s="248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48" t="s">
        <v>23</v>
      </c>
      <c r="B35" s="208" t="s">
        <v>95</v>
      </c>
      <c r="C35" s="121">
        <v>254</v>
      </c>
      <c r="D35" s="189">
        <f>2.971+6.04+0.093</f>
        <v>9.104</v>
      </c>
      <c r="E35" s="451">
        <v>24</v>
      </c>
      <c r="F35" s="453">
        <v>25.76</v>
      </c>
      <c r="G35" s="119"/>
      <c r="H35" s="5"/>
      <c r="I35" s="4"/>
      <c r="J35" s="5"/>
      <c r="K35" s="4"/>
      <c r="L35" s="5"/>
      <c r="M35" s="4"/>
      <c r="N35" s="5"/>
    </row>
    <row r="36" spans="1:14" ht="15" customHeight="1">
      <c r="A36" s="449"/>
      <c r="B36" s="65" t="s">
        <v>96</v>
      </c>
      <c r="C36" s="115">
        <v>141</v>
      </c>
      <c r="D36" s="8">
        <f>4.03+0.743+0.093</f>
        <v>4.8660000000000005</v>
      </c>
      <c r="E36" s="383"/>
      <c r="F36" s="414"/>
      <c r="G36" s="119"/>
      <c r="H36" s="5"/>
      <c r="I36" s="4"/>
      <c r="J36" s="5"/>
      <c r="K36" s="4"/>
      <c r="L36" s="5"/>
      <c r="M36" s="4"/>
      <c r="N36" s="5"/>
    </row>
    <row r="37" spans="1:14" ht="15" customHeight="1" thickBot="1">
      <c r="A37" s="450"/>
      <c r="B37" s="209" t="s">
        <v>115</v>
      </c>
      <c r="C37" s="131">
        <v>17.25</v>
      </c>
      <c r="D37" s="191">
        <v>45.412</v>
      </c>
      <c r="E37" s="452"/>
      <c r="F37" s="441"/>
      <c r="G37" s="119"/>
      <c r="H37" s="5"/>
      <c r="I37" s="4"/>
      <c r="J37" s="5"/>
      <c r="K37" s="4"/>
      <c r="L37" s="5"/>
      <c r="M37" s="4"/>
      <c r="N37" s="5"/>
    </row>
    <row r="38" spans="1:14" ht="12.75">
      <c r="A38" s="370" t="s">
        <v>24</v>
      </c>
      <c r="B38" s="65" t="s">
        <v>95</v>
      </c>
      <c r="C38" s="115">
        <v>910</v>
      </c>
      <c r="D38" s="8">
        <f>2.971+6.04+0.093</f>
        <v>9.104</v>
      </c>
      <c r="E38" s="383">
        <v>9</v>
      </c>
      <c r="F38" s="248">
        <v>25.76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70"/>
      <c r="B39" s="65" t="s">
        <v>96</v>
      </c>
      <c r="C39" s="115">
        <v>162</v>
      </c>
      <c r="D39" s="8">
        <f>4.03+0.743+0.093</f>
        <v>4.8660000000000005</v>
      </c>
      <c r="E39" s="383"/>
      <c r="F39" s="248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70"/>
      <c r="B40" s="65" t="s">
        <v>115</v>
      </c>
      <c r="C40" s="115">
        <v>17.25</v>
      </c>
      <c r="D40" s="8">
        <v>45.412</v>
      </c>
      <c r="E40" s="383"/>
      <c r="F40" s="248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69" t="s">
        <v>25</v>
      </c>
      <c r="B41" s="61" t="s">
        <v>95</v>
      </c>
      <c r="C41" s="114">
        <v>728</v>
      </c>
      <c r="D41" s="15">
        <f>2.971+6.04+0.093</f>
        <v>9.104</v>
      </c>
      <c r="E41" s="382">
        <v>10</v>
      </c>
      <c r="F41" s="225">
        <v>25.76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70"/>
      <c r="B42" s="65" t="s">
        <v>96</v>
      </c>
      <c r="C42" s="115">
        <v>108</v>
      </c>
      <c r="D42" s="8">
        <f>4.03+0.743+0.093</f>
        <v>4.8660000000000005</v>
      </c>
      <c r="E42" s="383"/>
      <c r="F42" s="248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70"/>
      <c r="B43" s="65" t="s">
        <v>115</v>
      </c>
      <c r="C43" s="115">
        <v>17.25</v>
      </c>
      <c r="D43" s="8">
        <v>45.412</v>
      </c>
      <c r="E43" s="383"/>
      <c r="F43" s="248"/>
      <c r="G43" s="4"/>
      <c r="H43" s="5"/>
      <c r="I43" s="4"/>
      <c r="J43" s="5"/>
      <c r="K43" s="4"/>
      <c r="L43" s="5"/>
      <c r="M43" s="4"/>
      <c r="N43" s="5"/>
    </row>
    <row r="44" spans="1:14" ht="12.75">
      <c r="A44" s="392" t="s">
        <v>26</v>
      </c>
      <c r="B44" s="188" t="s">
        <v>95</v>
      </c>
      <c r="C44" s="121">
        <v>1559</v>
      </c>
      <c r="D44" s="77">
        <f>2.971+6.04+0.093</f>
        <v>9.104</v>
      </c>
      <c r="E44" s="401">
        <v>13</v>
      </c>
      <c r="F44" s="453">
        <v>25.76</v>
      </c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393"/>
      <c r="B45" s="178" t="s">
        <v>96</v>
      </c>
      <c r="C45" s="115">
        <v>175</v>
      </c>
      <c r="D45" s="78">
        <f>4.03+0.743+0.093</f>
        <v>4.8660000000000005</v>
      </c>
      <c r="E45" s="265"/>
      <c r="F45" s="414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394"/>
      <c r="B46" s="190" t="s">
        <v>115</v>
      </c>
      <c r="C46" s="131">
        <v>17.25</v>
      </c>
      <c r="D46" s="159">
        <v>45.412</v>
      </c>
      <c r="E46" s="402"/>
      <c r="F46" s="388"/>
      <c r="G46" s="140"/>
      <c r="H46" s="140"/>
      <c r="I46" s="140"/>
      <c r="J46" s="140"/>
      <c r="K46" s="140"/>
      <c r="L46" s="140"/>
      <c r="M46" s="140"/>
      <c r="N46" s="14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56" t="s">
        <v>32</v>
      </c>
      <c r="B48" s="256"/>
      <c r="C48" s="256"/>
      <c r="D48" s="257"/>
      <c r="E48" s="33"/>
      <c r="F48" s="33"/>
      <c r="G48" s="33"/>
      <c r="H48" s="33"/>
      <c r="I48" s="1"/>
      <c r="J48" s="1"/>
      <c r="K48" s="1" t="s">
        <v>118</v>
      </c>
      <c r="L48" s="1"/>
      <c r="M48" s="1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1"/>
      <c r="J49" s="1"/>
      <c r="K49" s="1" t="s">
        <v>119</v>
      </c>
      <c r="L49" s="1"/>
      <c r="M49" s="1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32:A34"/>
    <mergeCell ref="E32:E34"/>
    <mergeCell ref="F32:F34"/>
    <mergeCell ref="A23:A25"/>
    <mergeCell ref="E23:E25"/>
    <mergeCell ref="A26:A28"/>
    <mergeCell ref="A29:A31"/>
    <mergeCell ref="E29:E31"/>
    <mergeCell ref="F29:F31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7">
      <selection activeCell="H50" sqref="H50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84" t="s">
        <v>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42"/>
    </row>
    <row r="7" spans="1:15" ht="9.75" customHeight="1" thickBo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O7" s="42"/>
    </row>
    <row r="8" spans="1:15" ht="15" customHeight="1" thickBot="1" thickTop="1">
      <c r="A8" s="290" t="s">
        <v>6</v>
      </c>
      <c r="B8" s="293" t="s">
        <v>7</v>
      </c>
      <c r="C8" s="294"/>
      <c r="D8" s="295"/>
      <c r="E8" s="293" t="s">
        <v>11</v>
      </c>
      <c r="F8" s="295"/>
      <c r="G8" s="269" t="s">
        <v>15</v>
      </c>
      <c r="H8" s="296"/>
      <c r="I8" s="296"/>
      <c r="J8" s="296"/>
      <c r="K8" s="296"/>
      <c r="L8" s="296"/>
      <c r="M8" s="296"/>
      <c r="N8" s="272"/>
      <c r="O8" s="42"/>
    </row>
    <row r="9" spans="1:15" ht="15" customHeight="1" thickTop="1">
      <c r="A9" s="291"/>
      <c r="B9" s="283" t="s">
        <v>8</v>
      </c>
      <c r="C9" s="300"/>
      <c r="D9" s="297" t="s">
        <v>9</v>
      </c>
      <c r="E9" s="298" t="s">
        <v>67</v>
      </c>
      <c r="F9" s="297" t="s">
        <v>9</v>
      </c>
      <c r="G9" s="281" t="s">
        <v>27</v>
      </c>
      <c r="H9" s="282"/>
      <c r="I9" s="281" t="s">
        <v>28</v>
      </c>
      <c r="J9" s="282"/>
      <c r="K9" s="281" t="s">
        <v>13</v>
      </c>
      <c r="L9" s="282"/>
      <c r="M9" s="281" t="s">
        <v>14</v>
      </c>
      <c r="N9" s="282"/>
      <c r="O9" s="42"/>
    </row>
    <row r="10" spans="1:15" ht="15" customHeight="1" thickBot="1">
      <c r="A10" s="292"/>
      <c r="B10" s="276"/>
      <c r="C10" s="270"/>
      <c r="D10" s="273"/>
      <c r="E10" s="299"/>
      <c r="F10" s="306"/>
      <c r="G10" s="18" t="s">
        <v>117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83" t="s">
        <v>16</v>
      </c>
      <c r="B11" s="106" t="s">
        <v>95</v>
      </c>
      <c r="C11" s="100">
        <v>3620</v>
      </c>
      <c r="D11" s="101">
        <f>5.91+2.352+0.093</f>
        <v>8.355</v>
      </c>
      <c r="E11" s="300">
        <v>118</v>
      </c>
      <c r="F11" s="297">
        <v>22.89</v>
      </c>
      <c r="G11" s="304">
        <f>151.23*84</f>
        <v>12703.32</v>
      </c>
      <c r="H11" s="305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76"/>
      <c r="B12" s="104" t="s">
        <v>96</v>
      </c>
      <c r="C12" s="97">
        <v>1040</v>
      </c>
      <c r="D12" s="105">
        <f>3.94+0.784+0.093</f>
        <v>4.817</v>
      </c>
      <c r="E12" s="270"/>
      <c r="F12" s="273"/>
      <c r="G12" s="279"/>
      <c r="H12" s="302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77"/>
      <c r="B13" s="102" t="s">
        <v>108</v>
      </c>
      <c r="C13" s="96">
        <v>33</v>
      </c>
      <c r="D13" s="103">
        <v>145.317</v>
      </c>
      <c r="E13" s="271"/>
      <c r="F13" s="274"/>
      <c r="G13" s="280"/>
      <c r="H13" s="303"/>
      <c r="I13" s="48"/>
      <c r="J13" s="49"/>
      <c r="K13" s="48"/>
      <c r="L13" s="49"/>
      <c r="M13" s="48"/>
      <c r="N13" s="49"/>
      <c r="O13" s="42"/>
    </row>
    <row r="14" spans="1:15" ht="15" customHeight="1">
      <c r="A14" s="275" t="s">
        <v>17</v>
      </c>
      <c r="B14" s="106" t="s">
        <v>95</v>
      </c>
      <c r="C14" s="97">
        <v>3180</v>
      </c>
      <c r="D14" s="101">
        <f>5.91+2.352+0.093</f>
        <v>8.355</v>
      </c>
      <c r="E14" s="269">
        <f>54+2</f>
        <v>56</v>
      </c>
      <c r="F14" s="272">
        <f>17.73+5.16</f>
        <v>22.89</v>
      </c>
      <c r="G14" s="278">
        <f>151.23*84</f>
        <v>12703.32</v>
      </c>
      <c r="H14" s="301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76"/>
      <c r="B15" s="104" t="s">
        <v>96</v>
      </c>
      <c r="C15" s="97">
        <v>880</v>
      </c>
      <c r="D15" s="105">
        <f>3.94+0.784+0.093</f>
        <v>4.817</v>
      </c>
      <c r="E15" s="270"/>
      <c r="F15" s="273"/>
      <c r="G15" s="279"/>
      <c r="H15" s="302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77"/>
      <c r="B16" s="102" t="s">
        <v>108</v>
      </c>
      <c r="C16" s="97">
        <v>33</v>
      </c>
      <c r="D16" s="103">
        <v>145.317</v>
      </c>
      <c r="E16" s="270"/>
      <c r="F16" s="273"/>
      <c r="G16" s="279"/>
      <c r="H16" s="302"/>
      <c r="I16" s="50"/>
      <c r="J16" s="51"/>
      <c r="K16" s="50"/>
      <c r="L16" s="51"/>
      <c r="M16" s="50"/>
      <c r="N16" s="51"/>
      <c r="O16" s="42"/>
    </row>
    <row r="17" spans="1:15" ht="15" customHeight="1">
      <c r="A17" s="275" t="s">
        <v>18</v>
      </c>
      <c r="B17" s="106" t="s">
        <v>95</v>
      </c>
      <c r="C17" s="98">
        <v>3540</v>
      </c>
      <c r="D17" s="101">
        <f>5.91+2.352+0.093</f>
        <v>8.355</v>
      </c>
      <c r="E17" s="269">
        <v>50</v>
      </c>
      <c r="F17" s="272">
        <v>22.89</v>
      </c>
      <c r="G17" s="278">
        <f>151.23*84</f>
        <v>12703.32</v>
      </c>
      <c r="H17" s="301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76"/>
      <c r="B18" s="104" t="s">
        <v>96</v>
      </c>
      <c r="C18" s="97">
        <v>1040</v>
      </c>
      <c r="D18" s="105">
        <f>3.94+0.784+0.093</f>
        <v>4.817</v>
      </c>
      <c r="E18" s="270"/>
      <c r="F18" s="273"/>
      <c r="G18" s="279"/>
      <c r="H18" s="302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77"/>
      <c r="B19" s="102" t="s">
        <v>108</v>
      </c>
      <c r="C19" s="96">
        <v>33</v>
      </c>
      <c r="D19" s="103">
        <v>145.317</v>
      </c>
      <c r="E19" s="271"/>
      <c r="F19" s="274"/>
      <c r="G19" s="280"/>
      <c r="H19" s="303"/>
      <c r="I19" s="48"/>
      <c r="J19" s="49"/>
      <c r="K19" s="48"/>
      <c r="L19" s="49"/>
      <c r="M19" s="48"/>
      <c r="N19" s="49"/>
      <c r="O19" s="42"/>
    </row>
    <row r="20" spans="1:15" ht="15" customHeight="1">
      <c r="A20" s="275" t="s">
        <v>19</v>
      </c>
      <c r="B20" s="106" t="s">
        <v>95</v>
      </c>
      <c r="C20" s="98">
        <v>3120</v>
      </c>
      <c r="D20" s="101">
        <f>5.91+2.352+0.093</f>
        <v>8.355</v>
      </c>
      <c r="E20" s="269">
        <v>42</v>
      </c>
      <c r="F20" s="272">
        <v>25.76</v>
      </c>
      <c r="G20" s="278">
        <f>151.23*84</f>
        <v>12703.32</v>
      </c>
      <c r="H20" s="301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76"/>
      <c r="B21" s="104" t="s">
        <v>96</v>
      </c>
      <c r="C21" s="97">
        <v>980</v>
      </c>
      <c r="D21" s="105">
        <f>3.94+0.784+0.093</f>
        <v>4.817</v>
      </c>
      <c r="E21" s="270"/>
      <c r="F21" s="273"/>
      <c r="G21" s="279"/>
      <c r="H21" s="302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77"/>
      <c r="B22" s="102" t="s">
        <v>108</v>
      </c>
      <c r="C22" s="96">
        <v>33</v>
      </c>
      <c r="D22" s="103">
        <v>145.317</v>
      </c>
      <c r="E22" s="271"/>
      <c r="F22" s="274"/>
      <c r="G22" s="280"/>
      <c r="H22" s="303"/>
      <c r="I22" s="48"/>
      <c r="J22" s="49"/>
      <c r="K22" s="48"/>
      <c r="L22" s="49"/>
      <c r="M22" s="48"/>
      <c r="N22" s="49"/>
      <c r="O22" s="42"/>
    </row>
    <row r="23" spans="1:15" ht="15" customHeight="1">
      <c r="A23" s="275" t="s">
        <v>20</v>
      </c>
      <c r="B23" s="106" t="s">
        <v>95</v>
      </c>
      <c r="C23" s="98">
        <v>2560</v>
      </c>
      <c r="D23" s="101">
        <f>5.91+2.352+0.093</f>
        <v>8.355</v>
      </c>
      <c r="E23" s="269">
        <f>43+15</f>
        <v>58</v>
      </c>
      <c r="F23" s="272">
        <f>19.95+5.81</f>
        <v>25.759999999999998</v>
      </c>
      <c r="G23" s="278">
        <f>151.23*84</f>
        <v>12703.32</v>
      </c>
      <c r="H23" s="272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76"/>
      <c r="B24" s="104" t="s">
        <v>96</v>
      </c>
      <c r="C24" s="97">
        <v>720</v>
      </c>
      <c r="D24" s="105">
        <f>3.94+0.784+0.093</f>
        <v>4.817</v>
      </c>
      <c r="E24" s="270"/>
      <c r="F24" s="273"/>
      <c r="G24" s="279"/>
      <c r="H24" s="273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77"/>
      <c r="B25" s="102" t="s">
        <v>108</v>
      </c>
      <c r="C25" s="96">
        <v>33</v>
      </c>
      <c r="D25" s="103">
        <v>145.317</v>
      </c>
      <c r="E25" s="271"/>
      <c r="F25" s="274"/>
      <c r="G25" s="280"/>
      <c r="H25" s="274"/>
      <c r="I25" s="48"/>
      <c r="J25" s="49"/>
      <c r="K25" s="48"/>
      <c r="L25" s="49"/>
      <c r="M25" s="48"/>
      <c r="N25" s="49"/>
      <c r="O25" s="42"/>
    </row>
    <row r="26" spans="1:15" ht="15" customHeight="1">
      <c r="A26" s="275" t="s">
        <v>69</v>
      </c>
      <c r="B26" s="106" t="s">
        <v>95</v>
      </c>
      <c r="C26" s="98">
        <v>2400</v>
      </c>
      <c r="D26" s="101">
        <f>5.91+2.352+0.093</f>
        <v>8.355</v>
      </c>
      <c r="E26" s="269">
        <f>60+5</f>
        <v>65</v>
      </c>
      <c r="F26" s="272">
        <v>25.76</v>
      </c>
      <c r="G26" s="278">
        <f>151.23*84</f>
        <v>12703.32</v>
      </c>
      <c r="H26" s="272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76"/>
      <c r="B27" s="102" t="s">
        <v>96</v>
      </c>
      <c r="C27" s="97">
        <v>700</v>
      </c>
      <c r="D27" s="105">
        <f>3.94+0.784+0.093</f>
        <v>4.817</v>
      </c>
      <c r="E27" s="270"/>
      <c r="F27" s="273"/>
      <c r="G27" s="279"/>
      <c r="H27" s="273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77"/>
      <c r="B28" s="102" t="s">
        <v>108</v>
      </c>
      <c r="C28" s="96">
        <v>33</v>
      </c>
      <c r="D28" s="103">
        <v>145.317</v>
      </c>
      <c r="E28" s="271"/>
      <c r="F28" s="274"/>
      <c r="G28" s="280"/>
      <c r="H28" s="274"/>
      <c r="I28" s="48"/>
      <c r="J28" s="49"/>
      <c r="K28" s="48"/>
      <c r="L28" s="49"/>
      <c r="M28" s="48"/>
      <c r="N28" s="49"/>
      <c r="O28" s="42"/>
    </row>
    <row r="29" spans="1:15" ht="15" customHeight="1">
      <c r="A29" s="275" t="s">
        <v>70</v>
      </c>
      <c r="B29" s="106" t="s">
        <v>95</v>
      </c>
      <c r="C29" s="107">
        <v>2240</v>
      </c>
      <c r="D29" s="101">
        <f>5.91+2.352+0.093</f>
        <v>8.355</v>
      </c>
      <c r="E29" s="269">
        <v>77</v>
      </c>
      <c r="F29" s="272">
        <v>25.76</v>
      </c>
      <c r="G29" s="278">
        <f>151.23*84</f>
        <v>12703.32</v>
      </c>
      <c r="H29" s="272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76"/>
      <c r="B30" s="104" t="s">
        <v>96</v>
      </c>
      <c r="C30" s="105">
        <v>640</v>
      </c>
      <c r="D30" s="105">
        <f>3.94+0.784+0.093</f>
        <v>4.817</v>
      </c>
      <c r="E30" s="270"/>
      <c r="F30" s="273"/>
      <c r="G30" s="279"/>
      <c r="H30" s="273"/>
      <c r="I30" s="7"/>
      <c r="J30" s="8"/>
      <c r="K30" s="7"/>
      <c r="L30" s="8"/>
      <c r="M30" s="7"/>
      <c r="N30" s="8"/>
      <c r="O30" s="42"/>
    </row>
    <row r="31" spans="1:15" ht="15" customHeight="1">
      <c r="A31" s="277"/>
      <c r="B31" s="102" t="s">
        <v>108</v>
      </c>
      <c r="C31" s="103">
        <v>33</v>
      </c>
      <c r="D31" s="103">
        <v>145.317</v>
      </c>
      <c r="E31" s="271"/>
      <c r="F31" s="274"/>
      <c r="G31" s="280"/>
      <c r="H31" s="274"/>
      <c r="I31" s="21"/>
      <c r="J31" s="22"/>
      <c r="K31" s="21"/>
      <c r="L31" s="22"/>
      <c r="M31" s="21"/>
      <c r="N31" s="22"/>
      <c r="O31" s="42"/>
    </row>
    <row r="32" spans="1:15" ht="15" customHeight="1">
      <c r="A32" s="275" t="s">
        <v>22</v>
      </c>
      <c r="B32" s="106" t="s">
        <v>95</v>
      </c>
      <c r="C32" s="107">
        <v>1940</v>
      </c>
      <c r="D32" s="107">
        <f>6.04+2.352+0.093</f>
        <v>8.485</v>
      </c>
      <c r="E32" s="269">
        <v>118</v>
      </c>
      <c r="F32" s="272">
        <v>25.76</v>
      </c>
      <c r="G32" s="278">
        <f>151.23*84</f>
        <v>12703.32</v>
      </c>
      <c r="H32" s="272">
        <v>12.33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76"/>
      <c r="B33" s="104" t="s">
        <v>96</v>
      </c>
      <c r="C33" s="105">
        <v>580</v>
      </c>
      <c r="D33" s="105">
        <f>0.784+4.03+0.093</f>
        <v>4.907</v>
      </c>
      <c r="E33" s="270"/>
      <c r="F33" s="273"/>
      <c r="G33" s="279"/>
      <c r="H33" s="273"/>
      <c r="I33" s="21"/>
      <c r="J33" s="22"/>
      <c r="K33" s="21"/>
      <c r="L33" s="22"/>
      <c r="M33" s="21"/>
      <c r="N33" s="22"/>
      <c r="O33" s="42"/>
    </row>
    <row r="34" spans="1:15" ht="15" customHeight="1">
      <c r="A34" s="277"/>
      <c r="B34" s="102" t="s">
        <v>108</v>
      </c>
      <c r="C34" s="103">
        <v>33</v>
      </c>
      <c r="D34" s="103">
        <v>145.317</v>
      </c>
      <c r="E34" s="271"/>
      <c r="F34" s="274"/>
      <c r="G34" s="280"/>
      <c r="H34" s="274"/>
      <c r="I34" s="52"/>
      <c r="J34" s="53"/>
      <c r="K34" s="52"/>
      <c r="L34" s="53"/>
      <c r="M34" s="52"/>
      <c r="N34" s="53"/>
      <c r="O34" s="42"/>
    </row>
    <row r="35" spans="1:15" ht="13.5" customHeight="1">
      <c r="A35" s="275" t="s">
        <v>23</v>
      </c>
      <c r="B35" s="106" t="s">
        <v>95</v>
      </c>
      <c r="C35" s="98">
        <v>2900</v>
      </c>
      <c r="D35" s="107">
        <f>6.04+2.352+0.093</f>
        <v>8.485</v>
      </c>
      <c r="E35" s="269">
        <f>80+5</f>
        <v>85</v>
      </c>
      <c r="F35" s="272">
        <v>25.76</v>
      </c>
      <c r="G35" s="278">
        <f>151.23*84</f>
        <v>12703.32</v>
      </c>
      <c r="H35" s="272">
        <v>12.33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276"/>
      <c r="B36" s="104" t="s">
        <v>96</v>
      </c>
      <c r="C36" s="97">
        <v>620</v>
      </c>
      <c r="D36" s="105">
        <f>0.784+4.03+0.093</f>
        <v>4.907</v>
      </c>
      <c r="E36" s="270"/>
      <c r="F36" s="273"/>
      <c r="G36" s="279"/>
      <c r="H36" s="273"/>
      <c r="I36" s="52"/>
      <c r="J36" s="53"/>
      <c r="K36" s="52"/>
      <c r="L36" s="53"/>
      <c r="M36" s="52"/>
      <c r="N36" s="53"/>
      <c r="O36" s="42"/>
    </row>
    <row r="37" spans="1:15" ht="11.25" customHeight="1">
      <c r="A37" s="277"/>
      <c r="B37" s="102" t="s">
        <v>108</v>
      </c>
      <c r="C37" s="96">
        <v>33</v>
      </c>
      <c r="D37" s="103">
        <v>145.317</v>
      </c>
      <c r="E37" s="271"/>
      <c r="F37" s="274"/>
      <c r="G37" s="280"/>
      <c r="H37" s="274"/>
      <c r="I37" s="52"/>
      <c r="J37" s="53"/>
      <c r="K37" s="52"/>
      <c r="L37" s="53"/>
      <c r="M37" s="52"/>
      <c r="N37" s="53"/>
      <c r="O37" s="42"/>
    </row>
    <row r="38" spans="1:15" ht="14.25" customHeight="1">
      <c r="A38" s="275" t="s">
        <v>24</v>
      </c>
      <c r="B38" s="106" t="s">
        <v>95</v>
      </c>
      <c r="C38" s="98">
        <v>3800</v>
      </c>
      <c r="D38" s="107">
        <f>6.04+2.352+0.093</f>
        <v>8.485</v>
      </c>
      <c r="E38" s="269">
        <f>108+14</f>
        <v>122</v>
      </c>
      <c r="F38" s="272">
        <v>25.76</v>
      </c>
      <c r="G38" s="278">
        <f>151.23*84</f>
        <v>12703.32</v>
      </c>
      <c r="H38" s="272">
        <v>12.33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276"/>
      <c r="B39" s="104" t="s">
        <v>96</v>
      </c>
      <c r="C39" s="97">
        <v>840</v>
      </c>
      <c r="D39" s="105">
        <f>0.784+4.03+0.093</f>
        <v>4.907</v>
      </c>
      <c r="E39" s="270"/>
      <c r="F39" s="273"/>
      <c r="G39" s="279"/>
      <c r="H39" s="273"/>
      <c r="I39" s="52"/>
      <c r="J39" s="53"/>
      <c r="K39" s="52"/>
      <c r="L39" s="53"/>
      <c r="M39" s="52"/>
      <c r="N39" s="53"/>
      <c r="O39" s="42"/>
    </row>
    <row r="40" spans="1:15" ht="12.75" customHeight="1">
      <c r="A40" s="277"/>
      <c r="B40" s="102" t="s">
        <v>108</v>
      </c>
      <c r="C40" s="96">
        <v>33</v>
      </c>
      <c r="D40" s="103">
        <v>145.317</v>
      </c>
      <c r="E40" s="271"/>
      <c r="F40" s="274"/>
      <c r="G40" s="280"/>
      <c r="H40" s="274"/>
      <c r="I40" s="52"/>
      <c r="J40" s="53"/>
      <c r="K40" s="52"/>
      <c r="L40" s="53"/>
      <c r="M40" s="52"/>
      <c r="N40" s="53"/>
      <c r="O40" s="42"/>
    </row>
    <row r="41" spans="1:15" ht="15" customHeight="1">
      <c r="A41" s="275" t="s">
        <v>25</v>
      </c>
      <c r="B41" s="106" t="s">
        <v>95</v>
      </c>
      <c r="C41" s="98">
        <v>3260</v>
      </c>
      <c r="D41" s="107">
        <f>6.04+2.352+0.093</f>
        <v>8.485</v>
      </c>
      <c r="E41" s="269">
        <v>80</v>
      </c>
      <c r="F41" s="272">
        <v>25.76</v>
      </c>
      <c r="G41" s="278">
        <f>151.23*84</f>
        <v>12703.32</v>
      </c>
      <c r="H41" s="272">
        <v>12.33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276"/>
      <c r="B42" s="104" t="s">
        <v>96</v>
      </c>
      <c r="C42" s="97">
        <v>760</v>
      </c>
      <c r="D42" s="105">
        <f>0.784+4.03+0.093</f>
        <v>4.907</v>
      </c>
      <c r="E42" s="270"/>
      <c r="F42" s="273"/>
      <c r="G42" s="279"/>
      <c r="H42" s="273"/>
      <c r="I42" s="52"/>
      <c r="J42" s="53"/>
      <c r="K42" s="52"/>
      <c r="L42" s="53"/>
      <c r="M42" s="52"/>
      <c r="N42" s="53"/>
      <c r="O42" s="42"/>
    </row>
    <row r="43" spans="1:15" ht="15" customHeight="1">
      <c r="A43" s="277"/>
      <c r="B43" s="102" t="s">
        <v>108</v>
      </c>
      <c r="C43" s="96">
        <v>33</v>
      </c>
      <c r="D43" s="103">
        <v>145.317</v>
      </c>
      <c r="E43" s="271"/>
      <c r="F43" s="274"/>
      <c r="G43" s="280"/>
      <c r="H43" s="274"/>
      <c r="I43" s="52"/>
      <c r="J43" s="53"/>
      <c r="K43" s="52"/>
      <c r="L43" s="53"/>
      <c r="M43" s="52"/>
      <c r="N43" s="53"/>
      <c r="O43" s="42"/>
    </row>
    <row r="44" spans="1:15" ht="12" customHeight="1">
      <c r="A44" s="275" t="s">
        <v>26</v>
      </c>
      <c r="B44" s="106" t="s">
        <v>95</v>
      </c>
      <c r="C44" s="98">
        <v>3520</v>
      </c>
      <c r="D44" s="107">
        <f>6.04+2.352+0.093</f>
        <v>8.485</v>
      </c>
      <c r="E44" s="269">
        <v>48</v>
      </c>
      <c r="F44" s="272">
        <v>25.76</v>
      </c>
      <c r="G44" s="278">
        <f>151.23*84</f>
        <v>12703.32</v>
      </c>
      <c r="H44" s="272">
        <v>12.33</v>
      </c>
      <c r="I44" s="72"/>
      <c r="J44" s="44"/>
      <c r="K44" s="72"/>
      <c r="L44" s="44"/>
      <c r="M44" s="72"/>
      <c r="N44" s="44"/>
      <c r="O44" s="42"/>
    </row>
    <row r="45" spans="1:15" ht="12" customHeight="1">
      <c r="A45" s="276"/>
      <c r="B45" s="104" t="s">
        <v>96</v>
      </c>
      <c r="C45" s="97">
        <v>800</v>
      </c>
      <c r="D45" s="105">
        <f>0.784+4.03+0.093</f>
        <v>4.907</v>
      </c>
      <c r="E45" s="270"/>
      <c r="F45" s="273"/>
      <c r="G45" s="279"/>
      <c r="H45" s="27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07"/>
      <c r="B46" s="102" t="s">
        <v>108</v>
      </c>
      <c r="C46" s="109">
        <v>33</v>
      </c>
      <c r="D46" s="103">
        <v>145.317</v>
      </c>
      <c r="E46" s="308"/>
      <c r="F46" s="306"/>
      <c r="G46" s="309"/>
      <c r="H46" s="306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>
      <c r="K51" s="1" t="s">
        <v>118</v>
      </c>
    </row>
    <row r="52" ht="13.5" customHeight="1">
      <c r="K52" s="1" t="s">
        <v>119</v>
      </c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H44:H46"/>
    <mergeCell ref="A44:A46"/>
    <mergeCell ref="E44:E46"/>
    <mergeCell ref="F44:F46"/>
    <mergeCell ref="G44:G46"/>
    <mergeCell ref="A41:A43"/>
    <mergeCell ref="E41:E43"/>
    <mergeCell ref="F41:F43"/>
    <mergeCell ref="G41:G43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26:A28"/>
    <mergeCell ref="E26:E28"/>
    <mergeCell ref="F26:F28"/>
    <mergeCell ref="G26:G28"/>
    <mergeCell ref="E23:E25"/>
    <mergeCell ref="F23:F25"/>
    <mergeCell ref="G23:G25"/>
    <mergeCell ref="A23:A25"/>
    <mergeCell ref="E35:E37"/>
    <mergeCell ref="H38:H40"/>
    <mergeCell ref="A38:A40"/>
    <mergeCell ref="E38:E40"/>
    <mergeCell ref="F38:F40"/>
    <mergeCell ref="G38:G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1">
      <selection activeCell="I49" sqref="I49:M49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28" t="s">
        <v>29</v>
      </c>
      <c r="J1" s="328"/>
      <c r="K1" s="328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28" t="s">
        <v>2</v>
      </c>
      <c r="J2" s="328"/>
      <c r="K2" s="328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28" t="s">
        <v>3</v>
      </c>
      <c r="J3" s="328"/>
      <c r="K3" s="328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29" t="s">
        <v>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1"/>
      <c r="O6" s="56"/>
    </row>
    <row r="7" spans="1:15" ht="13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  <c r="O7" s="56"/>
    </row>
    <row r="8" spans="1:15" ht="14.25" thickBot="1" thickTop="1">
      <c r="A8" s="335" t="s">
        <v>6</v>
      </c>
      <c r="B8" s="337" t="s">
        <v>7</v>
      </c>
      <c r="C8" s="338"/>
      <c r="D8" s="339"/>
      <c r="E8" s="337" t="s">
        <v>11</v>
      </c>
      <c r="F8" s="339"/>
      <c r="G8" s="318" t="s">
        <v>15</v>
      </c>
      <c r="H8" s="319"/>
      <c r="I8" s="319"/>
      <c r="J8" s="319"/>
      <c r="K8" s="319"/>
      <c r="L8" s="319"/>
      <c r="M8" s="319"/>
      <c r="N8" s="310"/>
      <c r="O8" s="56"/>
    </row>
    <row r="9" spans="1:15" ht="13.5" thickTop="1">
      <c r="A9" s="313"/>
      <c r="B9" s="340" t="s">
        <v>8</v>
      </c>
      <c r="C9" s="341"/>
      <c r="D9" s="320" t="s">
        <v>9</v>
      </c>
      <c r="E9" s="322" t="s">
        <v>68</v>
      </c>
      <c r="F9" s="320" t="s">
        <v>9</v>
      </c>
      <c r="G9" s="324" t="s">
        <v>27</v>
      </c>
      <c r="H9" s="325"/>
      <c r="I9" s="324" t="s">
        <v>28</v>
      </c>
      <c r="J9" s="325"/>
      <c r="K9" s="324" t="s">
        <v>13</v>
      </c>
      <c r="L9" s="325"/>
      <c r="M9" s="324" t="s">
        <v>14</v>
      </c>
      <c r="N9" s="325"/>
      <c r="O9" s="56"/>
    </row>
    <row r="10" spans="1:15" ht="13.5" thickBot="1">
      <c r="A10" s="336"/>
      <c r="B10" s="342"/>
      <c r="C10" s="343"/>
      <c r="D10" s="321"/>
      <c r="E10" s="323"/>
      <c r="F10" s="321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35" t="s">
        <v>16</v>
      </c>
      <c r="B11" s="61" t="s">
        <v>95</v>
      </c>
      <c r="C11" s="110">
        <v>1650</v>
      </c>
      <c r="D11" s="62">
        <f>5.91+2.971+0.093</f>
        <v>8.974</v>
      </c>
      <c r="E11" s="322">
        <v>213</v>
      </c>
      <c r="F11" s="320">
        <f>17.73+5.16</f>
        <v>22.89</v>
      </c>
      <c r="G11" s="345">
        <f>255*84</f>
        <v>21420</v>
      </c>
      <c r="H11" s="344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13"/>
      <c r="B12" s="65" t="s">
        <v>96</v>
      </c>
      <c r="C12" s="111">
        <v>240</v>
      </c>
      <c r="D12" s="66">
        <f>3.94+0.743+0.093</f>
        <v>4.776</v>
      </c>
      <c r="E12" s="315"/>
      <c r="F12" s="311"/>
      <c r="G12" s="317"/>
      <c r="H12" s="32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13"/>
      <c r="B13" s="65" t="s">
        <v>115</v>
      </c>
      <c r="C13" s="111">
        <v>17.25</v>
      </c>
      <c r="D13" s="66">
        <v>45.412</v>
      </c>
      <c r="E13" s="315"/>
      <c r="F13" s="311"/>
      <c r="G13" s="317"/>
      <c r="H13" s="327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13" t="s">
        <v>17</v>
      </c>
      <c r="B14" s="65" t="s">
        <v>95</v>
      </c>
      <c r="C14" s="111">
        <v>1800</v>
      </c>
      <c r="D14" s="62">
        <f>5.91+2.971+0.093</f>
        <v>8.974</v>
      </c>
      <c r="E14" s="314">
        <v>237</v>
      </c>
      <c r="F14" s="310">
        <v>22.89</v>
      </c>
      <c r="G14" s="316">
        <f>255*84</f>
        <v>21420</v>
      </c>
      <c r="H14" s="32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13"/>
      <c r="B15" s="65" t="s">
        <v>96</v>
      </c>
      <c r="C15" s="111">
        <v>300</v>
      </c>
      <c r="D15" s="66">
        <f>3.94+0.743+0.093</f>
        <v>4.776</v>
      </c>
      <c r="E15" s="315"/>
      <c r="F15" s="311"/>
      <c r="G15" s="317"/>
      <c r="H15" s="32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13"/>
      <c r="B16" s="65" t="s">
        <v>115</v>
      </c>
      <c r="C16" s="111">
        <v>17.25</v>
      </c>
      <c r="D16" s="66">
        <v>45.412</v>
      </c>
      <c r="E16" s="315"/>
      <c r="F16" s="311"/>
      <c r="G16" s="317"/>
      <c r="H16" s="327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13" t="s">
        <v>18</v>
      </c>
      <c r="B17" s="69" t="s">
        <v>95</v>
      </c>
      <c r="C17" s="112">
        <v>2040</v>
      </c>
      <c r="D17" s="62">
        <f>5.91+2.971+0.093</f>
        <v>8.974</v>
      </c>
      <c r="E17" s="314">
        <v>313</v>
      </c>
      <c r="F17" s="310">
        <v>22.89</v>
      </c>
      <c r="G17" s="316">
        <f>256*84</f>
        <v>21504</v>
      </c>
      <c r="H17" s="326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13"/>
      <c r="B18" s="65" t="s">
        <v>96</v>
      </c>
      <c r="C18" s="111">
        <v>270</v>
      </c>
      <c r="D18" s="66">
        <f>3.94+0.743+0.093</f>
        <v>4.776</v>
      </c>
      <c r="E18" s="315"/>
      <c r="F18" s="311"/>
      <c r="G18" s="317"/>
      <c r="H18" s="327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13"/>
      <c r="B19" s="65" t="s">
        <v>95</v>
      </c>
      <c r="C19" s="111">
        <v>17.25</v>
      </c>
      <c r="D19" s="66">
        <v>45.412</v>
      </c>
      <c r="E19" s="315"/>
      <c r="F19" s="311"/>
      <c r="G19" s="317"/>
      <c r="H19" s="327"/>
      <c r="I19" s="65"/>
      <c r="J19" s="66"/>
      <c r="K19" s="65"/>
      <c r="L19" s="66"/>
      <c r="M19" s="65"/>
      <c r="N19" s="66"/>
      <c r="O19" s="56"/>
    </row>
    <row r="20" spans="1:15" ht="13.5" thickTop="1">
      <c r="A20" s="312" t="s">
        <v>19</v>
      </c>
      <c r="B20" s="69" t="s">
        <v>95</v>
      </c>
      <c r="C20" s="112">
        <v>1680</v>
      </c>
      <c r="D20" s="62">
        <f>5.91+2.971+0.093</f>
        <v>8.974</v>
      </c>
      <c r="E20" s="314">
        <v>250</v>
      </c>
      <c r="F20" s="310">
        <v>25.76</v>
      </c>
      <c r="G20" s="316">
        <f>255*84</f>
        <v>21420</v>
      </c>
      <c r="H20" s="326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313"/>
      <c r="B21" s="65" t="s">
        <v>96</v>
      </c>
      <c r="C21" s="111">
        <v>300</v>
      </c>
      <c r="D21" s="66">
        <f>3.94+0.743+0.093</f>
        <v>4.776</v>
      </c>
      <c r="E21" s="315"/>
      <c r="F21" s="311"/>
      <c r="G21" s="317"/>
      <c r="H21" s="327"/>
      <c r="I21" s="65"/>
      <c r="J21" s="66"/>
      <c r="K21" s="65"/>
      <c r="L21" s="66"/>
      <c r="M21" s="65"/>
      <c r="N21" s="66"/>
      <c r="O21" s="56"/>
    </row>
    <row r="22" spans="1:15" ht="13.5" thickBot="1">
      <c r="A22" s="313"/>
      <c r="B22" s="65" t="s">
        <v>95</v>
      </c>
      <c r="C22" s="111">
        <v>17.25</v>
      </c>
      <c r="D22" s="66">
        <v>45.412</v>
      </c>
      <c r="E22" s="315"/>
      <c r="F22" s="311"/>
      <c r="G22" s="317"/>
      <c r="H22" s="327"/>
      <c r="I22" s="65"/>
      <c r="J22" s="66"/>
      <c r="K22" s="65"/>
      <c r="L22" s="66"/>
      <c r="M22" s="65"/>
      <c r="N22" s="66"/>
      <c r="O22" s="56"/>
    </row>
    <row r="23" spans="1:15" ht="13.5" thickTop="1">
      <c r="A23" s="312" t="s">
        <v>20</v>
      </c>
      <c r="B23" s="69" t="s">
        <v>95</v>
      </c>
      <c r="C23" s="112">
        <v>1110</v>
      </c>
      <c r="D23" s="62">
        <f>5.91+2.971+0.093</f>
        <v>8.974</v>
      </c>
      <c r="E23" s="314">
        <v>220</v>
      </c>
      <c r="F23" s="310">
        <v>25.76</v>
      </c>
      <c r="G23" s="316">
        <f>255*84</f>
        <v>21420</v>
      </c>
      <c r="H23" s="310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313"/>
      <c r="B24" s="65" t="s">
        <v>96</v>
      </c>
      <c r="C24" s="111">
        <v>150</v>
      </c>
      <c r="D24" s="66">
        <f>3.94+0.743+0.093</f>
        <v>4.776</v>
      </c>
      <c r="E24" s="315"/>
      <c r="F24" s="311"/>
      <c r="G24" s="317"/>
      <c r="H24" s="311"/>
      <c r="I24" s="65"/>
      <c r="J24" s="66"/>
      <c r="K24" s="65"/>
      <c r="L24" s="66"/>
      <c r="M24" s="65"/>
      <c r="N24" s="66"/>
      <c r="O24" s="56"/>
    </row>
    <row r="25" spans="1:15" ht="13.5" thickBot="1">
      <c r="A25" s="313"/>
      <c r="B25" s="65" t="s">
        <v>95</v>
      </c>
      <c r="C25" s="111">
        <v>17.25</v>
      </c>
      <c r="D25" s="66">
        <v>45.412</v>
      </c>
      <c r="E25" s="315"/>
      <c r="F25" s="311"/>
      <c r="G25" s="317"/>
      <c r="H25" s="311"/>
      <c r="I25" s="65"/>
      <c r="J25" s="66"/>
      <c r="K25" s="65"/>
      <c r="L25" s="66"/>
      <c r="M25" s="65"/>
      <c r="N25" s="66"/>
      <c r="O25" s="56"/>
    </row>
    <row r="26" spans="1:15" ht="13.5" thickTop="1">
      <c r="A26" s="312" t="s">
        <v>69</v>
      </c>
      <c r="B26" s="69" t="s">
        <v>95</v>
      </c>
      <c r="C26" s="112">
        <v>40</v>
      </c>
      <c r="D26" s="62">
        <f>5.91+2.971+0.093</f>
        <v>8.974</v>
      </c>
      <c r="E26" s="314">
        <v>242</v>
      </c>
      <c r="F26" s="310">
        <v>25.76</v>
      </c>
      <c r="G26" s="316">
        <f>255*84</f>
        <v>21420</v>
      </c>
      <c r="H26" s="310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313"/>
      <c r="B27" s="65" t="s">
        <v>96</v>
      </c>
      <c r="C27" s="111">
        <v>90</v>
      </c>
      <c r="D27" s="66">
        <f>3.94+0.743+0.093</f>
        <v>4.776</v>
      </c>
      <c r="E27" s="315"/>
      <c r="F27" s="311"/>
      <c r="G27" s="317"/>
      <c r="H27" s="311"/>
      <c r="I27" s="65"/>
      <c r="J27" s="66"/>
      <c r="K27" s="65"/>
      <c r="L27" s="66"/>
      <c r="M27" s="65"/>
      <c r="N27" s="66"/>
      <c r="O27" s="56"/>
    </row>
    <row r="28" spans="1:15" ht="13.5" thickBot="1">
      <c r="A28" s="313"/>
      <c r="B28" s="65" t="s">
        <v>95</v>
      </c>
      <c r="C28" s="111">
        <v>17.25</v>
      </c>
      <c r="D28" s="66">
        <v>45.412</v>
      </c>
      <c r="E28" s="315"/>
      <c r="F28" s="311"/>
      <c r="G28" s="317"/>
      <c r="H28" s="311"/>
      <c r="I28" s="65"/>
      <c r="J28" s="66"/>
      <c r="K28" s="65"/>
      <c r="L28" s="66"/>
      <c r="M28" s="65"/>
      <c r="N28" s="66"/>
      <c r="O28" s="56"/>
    </row>
    <row r="29" spans="1:15" ht="13.5" thickTop="1">
      <c r="A29" s="312" t="s">
        <v>70</v>
      </c>
      <c r="B29" s="69" t="s">
        <v>95</v>
      </c>
      <c r="C29" s="112">
        <v>720</v>
      </c>
      <c r="D29" s="62">
        <f>5.91+2.971+0.093</f>
        <v>8.974</v>
      </c>
      <c r="E29" s="314">
        <v>212</v>
      </c>
      <c r="F29" s="310">
        <v>25.76</v>
      </c>
      <c r="G29" s="316">
        <f>255*84</f>
        <v>21420</v>
      </c>
      <c r="H29" s="310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313"/>
      <c r="B30" s="65" t="s">
        <v>96</v>
      </c>
      <c r="C30" s="111">
        <v>90</v>
      </c>
      <c r="D30" s="66">
        <f>3.94+0.743+0.093</f>
        <v>4.776</v>
      </c>
      <c r="E30" s="315"/>
      <c r="F30" s="311"/>
      <c r="G30" s="317"/>
      <c r="H30" s="311"/>
      <c r="I30" s="65"/>
      <c r="J30" s="66"/>
      <c r="K30" s="65"/>
      <c r="L30" s="66"/>
      <c r="M30" s="65"/>
      <c r="N30" s="66"/>
      <c r="O30" s="56"/>
    </row>
    <row r="31" spans="1:15" ht="12.75">
      <c r="A31" s="313"/>
      <c r="B31" s="65" t="s">
        <v>95</v>
      </c>
      <c r="C31" s="111">
        <v>17.25</v>
      </c>
      <c r="D31" s="66">
        <v>45.412</v>
      </c>
      <c r="E31" s="315"/>
      <c r="F31" s="311"/>
      <c r="G31" s="317"/>
      <c r="H31" s="311"/>
      <c r="I31" s="65"/>
      <c r="J31" s="66"/>
      <c r="K31" s="65"/>
      <c r="L31" s="66"/>
      <c r="M31" s="65"/>
      <c r="N31" s="66"/>
      <c r="O31" s="56"/>
    </row>
    <row r="32" spans="1:15" ht="12.75">
      <c r="A32" s="312" t="s">
        <v>22</v>
      </c>
      <c r="B32" s="69" t="s">
        <v>95</v>
      </c>
      <c r="C32" s="112">
        <v>570</v>
      </c>
      <c r="D32" s="60">
        <f>6.04+2.971+0.093</f>
        <v>9.104</v>
      </c>
      <c r="E32" s="314">
        <v>200</v>
      </c>
      <c r="F32" s="310">
        <v>25.76</v>
      </c>
      <c r="G32" s="316">
        <f>255*84</f>
        <v>21420</v>
      </c>
      <c r="H32" s="310">
        <v>12.33</v>
      </c>
      <c r="I32" s="67"/>
      <c r="J32" s="68"/>
      <c r="K32" s="67"/>
      <c r="L32" s="68"/>
      <c r="M32" s="67"/>
      <c r="N32" s="68"/>
      <c r="O32" s="56"/>
    </row>
    <row r="33" spans="1:15" ht="12.75">
      <c r="A33" s="313"/>
      <c r="B33" s="65" t="s">
        <v>96</v>
      </c>
      <c r="C33" s="111">
        <v>90</v>
      </c>
      <c r="D33" s="66">
        <f>4.03+2.971+0.093</f>
        <v>7.094</v>
      </c>
      <c r="E33" s="315"/>
      <c r="F33" s="311"/>
      <c r="G33" s="317"/>
      <c r="H33" s="311"/>
      <c r="I33" s="67"/>
      <c r="J33" s="68"/>
      <c r="K33" s="67"/>
      <c r="L33" s="68"/>
      <c r="M33" s="67"/>
      <c r="N33" s="68"/>
      <c r="O33" s="56"/>
    </row>
    <row r="34" spans="1:15" ht="12.75">
      <c r="A34" s="313"/>
      <c r="B34" s="65" t="s">
        <v>95</v>
      </c>
      <c r="C34" s="111">
        <v>17.25</v>
      </c>
      <c r="D34" s="66">
        <v>45.412</v>
      </c>
      <c r="E34" s="315"/>
      <c r="F34" s="311"/>
      <c r="G34" s="317"/>
      <c r="H34" s="311"/>
      <c r="I34" s="67"/>
      <c r="J34" s="68"/>
      <c r="K34" s="67"/>
      <c r="L34" s="68"/>
      <c r="M34" s="67"/>
      <c r="N34" s="68"/>
      <c r="O34" s="56"/>
    </row>
    <row r="35" spans="1:15" ht="12.75">
      <c r="A35" s="312" t="s">
        <v>23</v>
      </c>
      <c r="B35" s="69" t="s">
        <v>95</v>
      </c>
      <c r="C35" s="112">
        <v>1410</v>
      </c>
      <c r="D35" s="60">
        <f>6.04+2.971+0.093</f>
        <v>9.104</v>
      </c>
      <c r="E35" s="314">
        <v>229</v>
      </c>
      <c r="F35" s="310">
        <v>25.76</v>
      </c>
      <c r="G35" s="316">
        <f>255*84</f>
        <v>21420</v>
      </c>
      <c r="H35" s="310">
        <v>12.33</v>
      </c>
      <c r="I35" s="70"/>
      <c r="J35" s="71"/>
      <c r="K35" s="70"/>
      <c r="L35" s="71"/>
      <c r="M35" s="70"/>
      <c r="N35" s="71"/>
      <c r="O35" s="56"/>
    </row>
    <row r="36" spans="1:15" ht="12.75">
      <c r="A36" s="313"/>
      <c r="B36" s="65" t="s">
        <v>96</v>
      </c>
      <c r="C36" s="111">
        <v>180</v>
      </c>
      <c r="D36" s="66">
        <f>4.03+2.971+0.093</f>
        <v>7.094</v>
      </c>
      <c r="E36" s="315"/>
      <c r="F36" s="311"/>
      <c r="G36" s="317"/>
      <c r="H36" s="311"/>
      <c r="I36" s="70"/>
      <c r="J36" s="71"/>
      <c r="K36" s="70"/>
      <c r="L36" s="71"/>
      <c r="M36" s="70"/>
      <c r="N36" s="71"/>
      <c r="O36" s="56"/>
    </row>
    <row r="37" spans="1:15" ht="12.75">
      <c r="A37" s="313"/>
      <c r="B37" s="65" t="s">
        <v>95</v>
      </c>
      <c r="C37" s="111">
        <v>17.25</v>
      </c>
      <c r="D37" s="66">
        <v>45.412</v>
      </c>
      <c r="E37" s="315"/>
      <c r="F37" s="311"/>
      <c r="G37" s="317"/>
      <c r="H37" s="311"/>
      <c r="I37" s="70"/>
      <c r="J37" s="71"/>
      <c r="K37" s="70"/>
      <c r="L37" s="71"/>
      <c r="M37" s="70"/>
      <c r="N37" s="71"/>
      <c r="O37" s="56"/>
    </row>
    <row r="38" spans="1:15" ht="12.75">
      <c r="A38" s="312" t="s">
        <v>24</v>
      </c>
      <c r="B38" s="69" t="s">
        <v>95</v>
      </c>
      <c r="C38" s="112">
        <v>2040</v>
      </c>
      <c r="D38" s="60">
        <f>6.04+2.971+0.093</f>
        <v>9.104</v>
      </c>
      <c r="E38" s="314">
        <v>212</v>
      </c>
      <c r="F38" s="310">
        <v>25.76</v>
      </c>
      <c r="G38" s="316">
        <f>255*84</f>
        <v>21420</v>
      </c>
      <c r="H38" s="310">
        <v>12.33</v>
      </c>
      <c r="I38" s="70"/>
      <c r="J38" s="71"/>
      <c r="K38" s="70"/>
      <c r="L38" s="71"/>
      <c r="M38" s="70"/>
      <c r="N38" s="71"/>
      <c r="O38" s="56"/>
    </row>
    <row r="39" spans="1:15" ht="12.75">
      <c r="A39" s="313"/>
      <c r="B39" s="65" t="s">
        <v>96</v>
      </c>
      <c r="C39" s="111">
        <v>210</v>
      </c>
      <c r="D39" s="66">
        <f>4.03+2.971+0.093</f>
        <v>7.094</v>
      </c>
      <c r="E39" s="315"/>
      <c r="F39" s="311"/>
      <c r="G39" s="317"/>
      <c r="H39" s="311"/>
      <c r="I39" s="70"/>
      <c r="J39" s="71"/>
      <c r="K39" s="70"/>
      <c r="L39" s="71"/>
      <c r="M39" s="70"/>
      <c r="N39" s="71"/>
      <c r="O39" s="56"/>
    </row>
    <row r="40" spans="1:15" ht="12.75">
      <c r="A40" s="313"/>
      <c r="B40" s="65" t="s">
        <v>95</v>
      </c>
      <c r="C40" s="111">
        <v>17.25</v>
      </c>
      <c r="D40" s="66">
        <v>45.412</v>
      </c>
      <c r="E40" s="315"/>
      <c r="F40" s="311"/>
      <c r="G40" s="317"/>
      <c r="H40" s="311"/>
      <c r="I40" s="70"/>
      <c r="J40" s="71"/>
      <c r="K40" s="70"/>
      <c r="L40" s="71"/>
      <c r="M40" s="70"/>
      <c r="N40" s="71"/>
      <c r="O40" s="56"/>
    </row>
    <row r="41" spans="1:15" ht="12.75">
      <c r="A41" s="312" t="s">
        <v>25</v>
      </c>
      <c r="B41" s="69" t="s">
        <v>95</v>
      </c>
      <c r="C41" s="112">
        <v>2040</v>
      </c>
      <c r="D41" s="60">
        <f>6.04+2.971+0.093</f>
        <v>9.104</v>
      </c>
      <c r="E41" s="314">
        <v>227</v>
      </c>
      <c r="F41" s="310">
        <v>25.76</v>
      </c>
      <c r="G41" s="316">
        <f>255*84</f>
        <v>21420</v>
      </c>
      <c r="H41" s="310">
        <v>12.33</v>
      </c>
      <c r="I41" s="70"/>
      <c r="J41" s="71"/>
      <c r="K41" s="70"/>
      <c r="L41" s="71"/>
      <c r="M41" s="70"/>
      <c r="N41" s="71"/>
      <c r="O41" s="56"/>
    </row>
    <row r="42" spans="1:15" ht="12.75">
      <c r="A42" s="313"/>
      <c r="B42" s="65" t="s">
        <v>96</v>
      </c>
      <c r="C42" s="111">
        <v>330</v>
      </c>
      <c r="D42" s="66">
        <f>4.03+2.971+0.093</f>
        <v>7.094</v>
      </c>
      <c r="E42" s="315"/>
      <c r="F42" s="311"/>
      <c r="G42" s="317"/>
      <c r="H42" s="311"/>
      <c r="I42" s="70"/>
      <c r="J42" s="71"/>
      <c r="K42" s="70"/>
      <c r="L42" s="71"/>
      <c r="M42" s="70"/>
      <c r="N42" s="71"/>
      <c r="O42" s="56"/>
    </row>
    <row r="43" spans="1:15" ht="13.5" thickBot="1">
      <c r="A43" s="313"/>
      <c r="B43" s="65" t="s">
        <v>95</v>
      </c>
      <c r="C43" s="111">
        <v>17.25</v>
      </c>
      <c r="D43" s="66">
        <v>45.412</v>
      </c>
      <c r="E43" s="315"/>
      <c r="F43" s="311"/>
      <c r="G43" s="317"/>
      <c r="H43" s="311"/>
      <c r="I43" s="69"/>
      <c r="J43" s="60"/>
      <c r="K43" s="69"/>
      <c r="L43" s="60"/>
      <c r="M43" s="69"/>
      <c r="N43" s="60"/>
      <c r="O43" s="56"/>
    </row>
    <row r="44" spans="1:15" ht="12.75">
      <c r="A44" s="347" t="s">
        <v>26</v>
      </c>
      <c r="B44" s="188" t="s">
        <v>95</v>
      </c>
      <c r="C44" s="196">
        <v>2430</v>
      </c>
      <c r="D44" s="80">
        <f>6.04+2.971+0.093</f>
        <v>9.104</v>
      </c>
      <c r="E44" s="348">
        <v>205</v>
      </c>
      <c r="F44" s="346">
        <v>25.76</v>
      </c>
      <c r="G44" s="349">
        <f>255*84</f>
        <v>21420</v>
      </c>
      <c r="H44" s="346">
        <v>12.33</v>
      </c>
      <c r="I44" s="195"/>
      <c r="J44" s="195"/>
      <c r="K44" s="195"/>
      <c r="L44" s="195"/>
      <c r="M44" s="195"/>
      <c r="N44" s="195"/>
      <c r="O44" s="56"/>
    </row>
    <row r="45" spans="1:15" ht="12.75">
      <c r="A45" s="347"/>
      <c r="B45" s="178" t="s">
        <v>96</v>
      </c>
      <c r="C45" s="111">
        <v>300</v>
      </c>
      <c r="D45" s="81">
        <f>4.03+2.971+0.093</f>
        <v>7.094</v>
      </c>
      <c r="E45" s="348"/>
      <c r="F45" s="346"/>
      <c r="G45" s="349"/>
      <c r="H45" s="346"/>
      <c r="I45" s="195"/>
      <c r="J45" s="195"/>
      <c r="K45" s="195"/>
      <c r="L45" s="195"/>
      <c r="M45" s="195"/>
      <c r="N45" s="195"/>
      <c r="O45" s="56"/>
    </row>
    <row r="46" spans="1:15" ht="13.5" thickBot="1">
      <c r="A46" s="347"/>
      <c r="B46" s="190" t="s">
        <v>95</v>
      </c>
      <c r="C46" s="199">
        <v>17.25</v>
      </c>
      <c r="D46" s="201">
        <v>45.412</v>
      </c>
      <c r="E46" s="348"/>
      <c r="F46" s="346"/>
      <c r="G46" s="349"/>
      <c r="H46" s="346"/>
      <c r="I46" s="195"/>
      <c r="J46" s="195"/>
      <c r="K46" s="195"/>
      <c r="L46" s="195"/>
      <c r="M46" s="195"/>
      <c r="N46" s="195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56" t="s">
        <v>32</v>
      </c>
      <c r="B48" s="256"/>
      <c r="C48" s="256"/>
      <c r="D48" s="257"/>
      <c r="E48" s="33"/>
      <c r="F48" s="33"/>
      <c r="G48" s="33"/>
      <c r="H48" s="33"/>
      <c r="I48" s="33"/>
      <c r="J48" s="33"/>
      <c r="K48" s="454" t="s">
        <v>118</v>
      </c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454" t="s">
        <v>119</v>
      </c>
      <c r="L49" s="33"/>
      <c r="M49" s="33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A11:A13"/>
    <mergeCell ref="A14:A16"/>
    <mergeCell ref="E11:E13"/>
    <mergeCell ref="F11:F13"/>
    <mergeCell ref="F14:F16"/>
    <mergeCell ref="E14:E16"/>
    <mergeCell ref="I1:K1"/>
    <mergeCell ref="I2:K2"/>
    <mergeCell ref="I3:K3"/>
    <mergeCell ref="A6:N7"/>
    <mergeCell ref="A8:A10"/>
    <mergeCell ref="B8:D8"/>
    <mergeCell ref="E8:F8"/>
    <mergeCell ref="B9:C1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A20:A22"/>
    <mergeCell ref="E20:E22"/>
    <mergeCell ref="F20:F22"/>
    <mergeCell ref="G20:G22"/>
    <mergeCell ref="A48:D48"/>
    <mergeCell ref="B50:E50"/>
    <mergeCell ref="G29:G31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1">
      <selection activeCell="I49" sqref="I49:M5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28" t="s">
        <v>29</v>
      </c>
      <c r="J1" s="328"/>
      <c r="K1" s="328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28" t="s">
        <v>2</v>
      </c>
      <c r="J2" s="328"/>
      <c r="K2" s="328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28" t="s">
        <v>3</v>
      </c>
      <c r="J3" s="328"/>
      <c r="K3" s="328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29" t="s">
        <v>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1"/>
      <c r="O6" s="56"/>
    </row>
    <row r="7" spans="1:15" ht="12.75" customHeight="1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  <c r="O7" s="56"/>
    </row>
    <row r="8" spans="1:15" ht="15" customHeight="1" thickBot="1" thickTop="1">
      <c r="A8" s="335" t="s">
        <v>6</v>
      </c>
      <c r="B8" s="337" t="s">
        <v>7</v>
      </c>
      <c r="C8" s="338"/>
      <c r="D8" s="339"/>
      <c r="E8" s="337" t="s">
        <v>11</v>
      </c>
      <c r="F8" s="339"/>
      <c r="G8" s="318" t="s">
        <v>15</v>
      </c>
      <c r="H8" s="319"/>
      <c r="I8" s="319"/>
      <c r="J8" s="319"/>
      <c r="K8" s="319"/>
      <c r="L8" s="319"/>
      <c r="M8" s="319"/>
      <c r="N8" s="310"/>
      <c r="O8" s="56"/>
    </row>
    <row r="9" spans="1:15" ht="12.75" customHeight="1" thickTop="1">
      <c r="A9" s="313"/>
      <c r="B9" s="340" t="s">
        <v>8</v>
      </c>
      <c r="C9" s="341"/>
      <c r="D9" s="320" t="s">
        <v>9</v>
      </c>
      <c r="E9" s="322" t="s">
        <v>68</v>
      </c>
      <c r="F9" s="320" t="s">
        <v>9</v>
      </c>
      <c r="G9" s="324" t="s">
        <v>27</v>
      </c>
      <c r="H9" s="325"/>
      <c r="I9" s="324" t="s">
        <v>28</v>
      </c>
      <c r="J9" s="325"/>
      <c r="K9" s="324" t="s">
        <v>13</v>
      </c>
      <c r="L9" s="325"/>
      <c r="M9" s="324" t="s">
        <v>14</v>
      </c>
      <c r="N9" s="325"/>
      <c r="O9" s="56"/>
    </row>
    <row r="10" spans="1:15" ht="12.75" customHeight="1" thickBot="1">
      <c r="A10" s="336"/>
      <c r="B10" s="342"/>
      <c r="C10" s="343"/>
      <c r="D10" s="321"/>
      <c r="E10" s="323"/>
      <c r="F10" s="321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1" t="s">
        <v>16</v>
      </c>
      <c r="B11" s="61" t="s">
        <v>95</v>
      </c>
      <c r="C11" s="110">
        <v>0</v>
      </c>
      <c r="D11" s="62">
        <f>5.91+2.971+0.093</f>
        <v>8.974</v>
      </c>
      <c r="E11" s="322">
        <v>95</v>
      </c>
      <c r="F11" s="320">
        <v>22.89</v>
      </c>
      <c r="G11" s="345">
        <f>218*84</f>
        <v>18312</v>
      </c>
      <c r="H11" s="344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50"/>
      <c r="B12" s="65" t="s">
        <v>96</v>
      </c>
      <c r="C12" s="111">
        <v>11310</v>
      </c>
      <c r="D12" s="66">
        <f>3.94+2.971+0.093</f>
        <v>7.004</v>
      </c>
      <c r="E12" s="315"/>
      <c r="F12" s="311"/>
      <c r="G12" s="317"/>
      <c r="H12" s="32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50"/>
      <c r="B13" s="65" t="s">
        <v>115</v>
      </c>
      <c r="C13" s="111">
        <v>17.25</v>
      </c>
      <c r="D13" s="66">
        <v>45.412</v>
      </c>
      <c r="E13" s="315"/>
      <c r="F13" s="311"/>
      <c r="G13" s="317"/>
      <c r="H13" s="32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50" t="s">
        <v>17</v>
      </c>
      <c r="B14" s="65" t="s">
        <v>95</v>
      </c>
      <c r="C14" s="112">
        <v>0</v>
      </c>
      <c r="D14" s="62">
        <f>5.91+2.971+0.093</f>
        <v>8.974</v>
      </c>
      <c r="E14" s="314">
        <f>78+7</f>
        <v>85</v>
      </c>
      <c r="F14" s="310">
        <v>22.89</v>
      </c>
      <c r="G14" s="316">
        <f>218*84</f>
        <v>18312</v>
      </c>
      <c r="H14" s="32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50"/>
      <c r="B15" s="65" t="s">
        <v>96</v>
      </c>
      <c r="C15" s="111">
        <v>5280</v>
      </c>
      <c r="D15" s="66">
        <f>3.94+2.971+0.093</f>
        <v>7.004</v>
      </c>
      <c r="E15" s="315"/>
      <c r="F15" s="311"/>
      <c r="G15" s="317"/>
      <c r="H15" s="32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50"/>
      <c r="B16" s="65" t="s">
        <v>95</v>
      </c>
      <c r="C16" s="111">
        <v>17.25</v>
      </c>
      <c r="D16" s="66">
        <v>45.412</v>
      </c>
      <c r="E16" s="315"/>
      <c r="F16" s="311"/>
      <c r="G16" s="317"/>
      <c r="H16" s="327"/>
      <c r="I16" s="65"/>
      <c r="J16" s="66"/>
      <c r="K16" s="65"/>
      <c r="L16" s="66"/>
      <c r="M16" s="65"/>
      <c r="N16" s="66"/>
      <c r="O16" s="56"/>
    </row>
    <row r="17" spans="1:15" ht="13.5" thickTop="1">
      <c r="A17" s="350" t="s">
        <v>18</v>
      </c>
      <c r="B17" s="69" t="s">
        <v>95</v>
      </c>
      <c r="C17" s="112">
        <v>0</v>
      </c>
      <c r="D17" s="62">
        <f>5.91+2.971+0.093</f>
        <v>8.974</v>
      </c>
      <c r="E17" s="314">
        <v>157</v>
      </c>
      <c r="F17" s="310">
        <v>22.89</v>
      </c>
      <c r="G17" s="316">
        <f>218*84</f>
        <v>18312</v>
      </c>
      <c r="H17" s="326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50"/>
      <c r="B18" s="65" t="s">
        <v>96</v>
      </c>
      <c r="C18" s="111">
        <v>5940</v>
      </c>
      <c r="D18" s="66">
        <f>3.94+2.971+0.093</f>
        <v>7.004</v>
      </c>
      <c r="E18" s="315"/>
      <c r="F18" s="311"/>
      <c r="G18" s="317"/>
      <c r="H18" s="327"/>
      <c r="I18" s="65"/>
      <c r="J18" s="66"/>
      <c r="K18" s="65"/>
      <c r="L18" s="66"/>
      <c r="M18" s="65"/>
      <c r="N18" s="66"/>
      <c r="O18" s="56"/>
    </row>
    <row r="19" spans="1:15" ht="13.5" thickBot="1">
      <c r="A19" s="350"/>
      <c r="B19" s="65" t="s">
        <v>95</v>
      </c>
      <c r="C19" s="111">
        <v>17.25</v>
      </c>
      <c r="D19" s="66">
        <v>45.412</v>
      </c>
      <c r="E19" s="315"/>
      <c r="F19" s="311"/>
      <c r="G19" s="317"/>
      <c r="H19" s="327"/>
      <c r="I19" s="65"/>
      <c r="J19" s="66"/>
      <c r="K19" s="65"/>
      <c r="L19" s="66"/>
      <c r="M19" s="65"/>
      <c r="N19" s="66"/>
      <c r="O19" s="56"/>
    </row>
    <row r="20" spans="1:15" ht="13.5" thickTop="1">
      <c r="A20" s="350" t="s">
        <v>19</v>
      </c>
      <c r="B20" s="69" t="s">
        <v>95</v>
      </c>
      <c r="C20" s="112">
        <v>0</v>
      </c>
      <c r="D20" s="62">
        <f>5.91+2.971+0.093</f>
        <v>8.974</v>
      </c>
      <c r="E20" s="314">
        <f>84+7</f>
        <v>91</v>
      </c>
      <c r="F20" s="310">
        <v>25.76</v>
      </c>
      <c r="G20" s="316">
        <f>218*84</f>
        <v>18312</v>
      </c>
      <c r="H20" s="326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50"/>
      <c r="B21" s="65" t="s">
        <v>96</v>
      </c>
      <c r="C21" s="111">
        <v>4950</v>
      </c>
      <c r="D21" s="66">
        <f>3.94+2.971+0.093</f>
        <v>7.004</v>
      </c>
      <c r="E21" s="315"/>
      <c r="F21" s="311"/>
      <c r="G21" s="317"/>
      <c r="H21" s="327"/>
      <c r="I21" s="65"/>
      <c r="J21" s="66"/>
      <c r="K21" s="65"/>
      <c r="L21" s="66"/>
      <c r="M21" s="65"/>
      <c r="N21" s="66"/>
      <c r="O21" s="56"/>
    </row>
    <row r="22" spans="1:15" ht="13.5" thickBot="1">
      <c r="A22" s="350"/>
      <c r="B22" s="65" t="s">
        <v>95</v>
      </c>
      <c r="C22" s="111">
        <v>17.25</v>
      </c>
      <c r="D22" s="66">
        <v>45.412</v>
      </c>
      <c r="E22" s="315"/>
      <c r="F22" s="311"/>
      <c r="G22" s="317"/>
      <c r="H22" s="327"/>
      <c r="I22" s="65"/>
      <c r="J22" s="66"/>
      <c r="K22" s="65"/>
      <c r="L22" s="66"/>
      <c r="M22" s="65"/>
      <c r="N22" s="66"/>
      <c r="O22" s="56"/>
    </row>
    <row r="23" spans="1:15" ht="13.5" thickTop="1">
      <c r="A23" s="312" t="s">
        <v>20</v>
      </c>
      <c r="B23" s="69" t="s">
        <v>95</v>
      </c>
      <c r="C23" s="112">
        <v>0</v>
      </c>
      <c r="D23" s="62">
        <f>5.91+2.971+0.093</f>
        <v>8.974</v>
      </c>
      <c r="E23" s="314">
        <f>128+13</f>
        <v>141</v>
      </c>
      <c r="F23" s="310">
        <v>25.76</v>
      </c>
      <c r="G23" s="316">
        <f>218*84</f>
        <v>18312</v>
      </c>
      <c r="H23" s="310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313"/>
      <c r="B24" s="65" t="s">
        <v>96</v>
      </c>
      <c r="C24" s="111">
        <v>4890</v>
      </c>
      <c r="D24" s="66">
        <f>3.94+2.971+0.093</f>
        <v>7.004</v>
      </c>
      <c r="E24" s="315"/>
      <c r="F24" s="311"/>
      <c r="G24" s="317"/>
      <c r="H24" s="311"/>
      <c r="I24" s="65"/>
      <c r="J24" s="66"/>
      <c r="K24" s="65"/>
      <c r="L24" s="66"/>
      <c r="M24" s="65"/>
      <c r="N24" s="66"/>
      <c r="O24" s="56"/>
    </row>
    <row r="25" spans="1:15" ht="13.5" thickBot="1">
      <c r="A25" s="313"/>
      <c r="B25" s="65" t="s">
        <v>95</v>
      </c>
      <c r="C25" s="111">
        <v>17.25</v>
      </c>
      <c r="D25" s="66">
        <v>45.412</v>
      </c>
      <c r="E25" s="315"/>
      <c r="F25" s="311"/>
      <c r="G25" s="317"/>
      <c r="H25" s="311"/>
      <c r="I25" s="65"/>
      <c r="J25" s="66"/>
      <c r="K25" s="65"/>
      <c r="L25" s="66"/>
      <c r="M25" s="65"/>
      <c r="N25" s="66"/>
      <c r="O25" s="56"/>
    </row>
    <row r="26" spans="1:15" ht="13.5" thickTop="1">
      <c r="A26" s="312" t="s">
        <v>69</v>
      </c>
      <c r="B26" s="69" t="s">
        <v>95</v>
      </c>
      <c r="C26" s="112">
        <v>0</v>
      </c>
      <c r="D26" s="62">
        <f>5.91+2.971+0.093</f>
        <v>8.974</v>
      </c>
      <c r="E26" s="314">
        <f>102+11</f>
        <v>113</v>
      </c>
      <c r="F26" s="310">
        <v>25.76</v>
      </c>
      <c r="G26" s="316">
        <f>218*84</f>
        <v>18312</v>
      </c>
      <c r="H26" s="310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313"/>
      <c r="B27" s="65" t="s">
        <v>96</v>
      </c>
      <c r="C27" s="111">
        <v>4950</v>
      </c>
      <c r="D27" s="66">
        <f>3.94+2.971+0.093</f>
        <v>7.004</v>
      </c>
      <c r="E27" s="315"/>
      <c r="F27" s="311"/>
      <c r="G27" s="317"/>
      <c r="H27" s="311"/>
      <c r="I27" s="65"/>
      <c r="J27" s="66"/>
      <c r="K27" s="65"/>
      <c r="L27" s="66"/>
      <c r="M27" s="65"/>
      <c r="N27" s="66"/>
      <c r="O27" s="56"/>
    </row>
    <row r="28" spans="1:15" ht="13.5" thickBot="1">
      <c r="A28" s="313"/>
      <c r="B28" s="65" t="s">
        <v>95</v>
      </c>
      <c r="C28" s="111">
        <v>17.25</v>
      </c>
      <c r="D28" s="66">
        <v>45.412</v>
      </c>
      <c r="E28" s="315"/>
      <c r="F28" s="311"/>
      <c r="G28" s="317"/>
      <c r="H28" s="311"/>
      <c r="I28" s="65"/>
      <c r="J28" s="66"/>
      <c r="K28" s="65"/>
      <c r="L28" s="66"/>
      <c r="M28" s="65"/>
      <c r="N28" s="66"/>
      <c r="O28" s="56"/>
    </row>
    <row r="29" spans="1:15" ht="13.5" thickTop="1">
      <c r="A29" s="312" t="s">
        <v>70</v>
      </c>
      <c r="B29" s="69" t="s">
        <v>95</v>
      </c>
      <c r="C29" s="112">
        <v>0</v>
      </c>
      <c r="D29" s="62">
        <f>5.91+2.971+0.093</f>
        <v>8.974</v>
      </c>
      <c r="E29" s="314">
        <v>70</v>
      </c>
      <c r="F29" s="310">
        <v>25.76</v>
      </c>
      <c r="G29" s="316">
        <f>218*84</f>
        <v>18312</v>
      </c>
      <c r="H29" s="310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313"/>
      <c r="B30" s="65" t="s">
        <v>96</v>
      </c>
      <c r="C30" s="111">
        <v>4230</v>
      </c>
      <c r="D30" s="66">
        <f>3.94+2.971+0.093</f>
        <v>7.004</v>
      </c>
      <c r="E30" s="315"/>
      <c r="F30" s="311"/>
      <c r="G30" s="317"/>
      <c r="H30" s="311"/>
      <c r="I30" s="65"/>
      <c r="J30" s="66"/>
      <c r="K30" s="65"/>
      <c r="L30" s="66"/>
      <c r="M30" s="65"/>
      <c r="N30" s="66"/>
      <c r="O30" s="56"/>
    </row>
    <row r="31" spans="1:15" ht="12.75">
      <c r="A31" s="313"/>
      <c r="B31" s="65" t="s">
        <v>95</v>
      </c>
      <c r="C31" s="111">
        <v>17.25</v>
      </c>
      <c r="D31" s="66">
        <v>45.412</v>
      </c>
      <c r="E31" s="315"/>
      <c r="F31" s="311"/>
      <c r="G31" s="317"/>
      <c r="H31" s="311"/>
      <c r="I31" s="65"/>
      <c r="J31" s="66"/>
      <c r="K31" s="65"/>
      <c r="L31" s="66"/>
      <c r="M31" s="65"/>
      <c r="N31" s="66"/>
      <c r="O31" s="56"/>
    </row>
    <row r="32" spans="1:15" ht="12.75">
      <c r="A32" s="312" t="s">
        <v>22</v>
      </c>
      <c r="B32" s="69" t="s">
        <v>95</v>
      </c>
      <c r="C32" s="112">
        <v>0</v>
      </c>
      <c r="D32" s="60">
        <f>6.04+2.971+0.093</f>
        <v>9.104</v>
      </c>
      <c r="E32" s="314">
        <v>56</v>
      </c>
      <c r="F32" s="310">
        <v>25.76</v>
      </c>
      <c r="G32" s="316">
        <f>218*84</f>
        <v>18312</v>
      </c>
      <c r="H32" s="310">
        <v>12.33</v>
      </c>
      <c r="I32" s="69"/>
      <c r="J32" s="60"/>
      <c r="K32" s="69"/>
      <c r="L32" s="60"/>
      <c r="M32" s="69"/>
      <c r="N32" s="60"/>
      <c r="O32" s="56"/>
    </row>
    <row r="33" spans="1:15" ht="12.75">
      <c r="A33" s="313"/>
      <c r="B33" s="65" t="s">
        <v>96</v>
      </c>
      <c r="C33" s="111">
        <v>4050</v>
      </c>
      <c r="D33" s="66">
        <f>4.03+0.743+0.093</f>
        <v>4.8660000000000005</v>
      </c>
      <c r="E33" s="315"/>
      <c r="F33" s="311"/>
      <c r="G33" s="317"/>
      <c r="H33" s="311"/>
      <c r="I33" s="65"/>
      <c r="J33" s="66"/>
      <c r="K33" s="65"/>
      <c r="L33" s="66"/>
      <c r="M33" s="65"/>
      <c r="N33" s="66"/>
      <c r="O33" s="56"/>
    </row>
    <row r="34" spans="1:15" ht="12.75">
      <c r="A34" s="313"/>
      <c r="B34" s="65" t="s">
        <v>95</v>
      </c>
      <c r="C34" s="111">
        <v>17.25</v>
      </c>
      <c r="D34" s="66">
        <v>45.412</v>
      </c>
      <c r="E34" s="315"/>
      <c r="F34" s="311"/>
      <c r="G34" s="317"/>
      <c r="H34" s="311"/>
      <c r="I34" s="65"/>
      <c r="J34" s="66"/>
      <c r="K34" s="65"/>
      <c r="L34" s="66"/>
      <c r="M34" s="65"/>
      <c r="N34" s="66"/>
      <c r="O34" s="56"/>
    </row>
    <row r="35" spans="1:15" ht="12.75">
      <c r="A35" s="312" t="s">
        <v>23</v>
      </c>
      <c r="B35" s="69" t="s">
        <v>95</v>
      </c>
      <c r="C35" s="112">
        <v>0</v>
      </c>
      <c r="D35" s="60">
        <f>6.04+2.971+0.093</f>
        <v>9.104</v>
      </c>
      <c r="E35" s="314">
        <f>177+15</f>
        <v>192</v>
      </c>
      <c r="F35" s="310">
        <v>25.76</v>
      </c>
      <c r="G35" s="316">
        <f>218*84</f>
        <v>18312</v>
      </c>
      <c r="H35" s="310">
        <v>12.33</v>
      </c>
      <c r="I35" s="69"/>
      <c r="J35" s="60"/>
      <c r="K35" s="69"/>
      <c r="L35" s="60"/>
      <c r="M35" s="69"/>
      <c r="N35" s="60"/>
      <c r="O35" s="56"/>
    </row>
    <row r="36" spans="1:15" ht="12.75">
      <c r="A36" s="313"/>
      <c r="B36" s="65" t="s">
        <v>96</v>
      </c>
      <c r="C36" s="111">
        <v>4770</v>
      </c>
      <c r="D36" s="66">
        <f>4.03+0.743+0.093</f>
        <v>4.8660000000000005</v>
      </c>
      <c r="E36" s="315"/>
      <c r="F36" s="311"/>
      <c r="G36" s="317"/>
      <c r="H36" s="311"/>
      <c r="I36" s="65"/>
      <c r="J36" s="66"/>
      <c r="K36" s="65"/>
      <c r="L36" s="66"/>
      <c r="M36" s="65"/>
      <c r="N36" s="66"/>
      <c r="O36" s="56"/>
    </row>
    <row r="37" spans="1:15" ht="12.75">
      <c r="A37" s="313"/>
      <c r="B37" s="65" t="s">
        <v>95</v>
      </c>
      <c r="C37" s="111">
        <v>17.25</v>
      </c>
      <c r="D37" s="66">
        <v>45.412</v>
      </c>
      <c r="E37" s="315"/>
      <c r="F37" s="311"/>
      <c r="G37" s="317"/>
      <c r="H37" s="311"/>
      <c r="I37" s="65"/>
      <c r="J37" s="66"/>
      <c r="K37" s="65"/>
      <c r="L37" s="66"/>
      <c r="M37" s="65"/>
      <c r="N37" s="66"/>
      <c r="O37" s="56"/>
    </row>
    <row r="38" spans="1:15" ht="12.75">
      <c r="A38" s="312" t="s">
        <v>24</v>
      </c>
      <c r="B38" s="69" t="s">
        <v>95</v>
      </c>
      <c r="C38" s="112">
        <v>0</v>
      </c>
      <c r="D38" s="60">
        <f>6.04+2.971+0.093</f>
        <v>9.104</v>
      </c>
      <c r="E38" s="314">
        <f>174+14</f>
        <v>188</v>
      </c>
      <c r="F38" s="310">
        <v>25.76</v>
      </c>
      <c r="G38" s="316">
        <f>218*84</f>
        <v>18312</v>
      </c>
      <c r="H38" s="310">
        <v>12.33</v>
      </c>
      <c r="I38" s="69"/>
      <c r="J38" s="73"/>
      <c r="K38" s="73"/>
      <c r="L38" s="73"/>
      <c r="M38" s="73"/>
      <c r="N38" s="60"/>
      <c r="O38" s="56"/>
    </row>
    <row r="39" spans="1:15" ht="12.75">
      <c r="A39" s="313"/>
      <c r="B39" s="65" t="s">
        <v>96</v>
      </c>
      <c r="C39" s="111">
        <v>5220</v>
      </c>
      <c r="D39" s="66">
        <f>4.03+0.743+0.093</f>
        <v>4.8660000000000005</v>
      </c>
      <c r="E39" s="315"/>
      <c r="F39" s="311"/>
      <c r="G39" s="317"/>
      <c r="H39" s="311"/>
      <c r="I39" s="65"/>
      <c r="J39" s="74"/>
      <c r="K39" s="74"/>
      <c r="L39" s="74"/>
      <c r="M39" s="74"/>
      <c r="N39" s="66"/>
      <c r="O39" s="56"/>
    </row>
    <row r="40" spans="1:15" ht="12.75">
      <c r="A40" s="313"/>
      <c r="B40" s="65" t="s">
        <v>95</v>
      </c>
      <c r="C40" s="111">
        <v>17.25</v>
      </c>
      <c r="D40" s="66">
        <v>45.412</v>
      </c>
      <c r="E40" s="315"/>
      <c r="F40" s="311"/>
      <c r="G40" s="317"/>
      <c r="H40" s="311"/>
      <c r="I40" s="65"/>
      <c r="J40" s="74"/>
      <c r="K40" s="74"/>
      <c r="L40" s="74"/>
      <c r="M40" s="74"/>
      <c r="N40" s="66"/>
      <c r="O40" s="56"/>
    </row>
    <row r="41" spans="1:15" ht="12.75">
      <c r="A41" s="312" t="s">
        <v>25</v>
      </c>
      <c r="B41" s="69" t="s">
        <v>95</v>
      </c>
      <c r="C41" s="112">
        <v>0</v>
      </c>
      <c r="D41" s="60">
        <v>9.104</v>
      </c>
      <c r="E41" s="314">
        <f>173+14</f>
        <v>187</v>
      </c>
      <c r="F41" s="310">
        <v>25.76</v>
      </c>
      <c r="G41" s="316">
        <f>218*84</f>
        <v>18312</v>
      </c>
      <c r="H41" s="310">
        <v>12.33</v>
      </c>
      <c r="I41" s="69"/>
      <c r="J41" s="60"/>
      <c r="K41" s="69"/>
      <c r="L41" s="60"/>
      <c r="M41" s="69"/>
      <c r="N41" s="60"/>
      <c r="O41" s="56"/>
    </row>
    <row r="42" spans="1:15" ht="12.75">
      <c r="A42" s="313"/>
      <c r="B42" s="65" t="s">
        <v>96</v>
      </c>
      <c r="C42" s="111">
        <v>4890</v>
      </c>
      <c r="D42" s="66">
        <v>4.866</v>
      </c>
      <c r="E42" s="315"/>
      <c r="F42" s="311"/>
      <c r="G42" s="317"/>
      <c r="H42" s="311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13"/>
      <c r="B43" s="65" t="s">
        <v>95</v>
      </c>
      <c r="C43" s="111">
        <v>17.25</v>
      </c>
      <c r="D43" s="66">
        <v>45.412</v>
      </c>
      <c r="E43" s="315"/>
      <c r="F43" s="311"/>
      <c r="G43" s="317"/>
      <c r="H43" s="311"/>
      <c r="I43" s="65"/>
      <c r="J43" s="66"/>
      <c r="K43" s="65"/>
      <c r="L43" s="66"/>
      <c r="M43" s="65"/>
      <c r="N43" s="66"/>
      <c r="O43" s="56"/>
    </row>
    <row r="44" spans="1:15" ht="12.75">
      <c r="A44" s="357" t="s">
        <v>26</v>
      </c>
      <c r="B44" s="80" t="s">
        <v>95</v>
      </c>
      <c r="C44" s="80">
        <v>0</v>
      </c>
      <c r="D44" s="212">
        <v>9.104</v>
      </c>
      <c r="E44" s="360">
        <v>192</v>
      </c>
      <c r="F44" s="363">
        <v>25.76</v>
      </c>
      <c r="G44" s="365">
        <f>218*84</f>
        <v>18312</v>
      </c>
      <c r="H44" s="354">
        <v>12.33</v>
      </c>
      <c r="I44" s="188"/>
      <c r="J44" s="210"/>
      <c r="K44" s="208"/>
      <c r="L44" s="210"/>
      <c r="M44" s="208"/>
      <c r="N44" s="197"/>
      <c r="O44" s="56"/>
    </row>
    <row r="45" spans="1:15" ht="12.75">
      <c r="A45" s="358"/>
      <c r="B45" s="81" t="s">
        <v>96</v>
      </c>
      <c r="C45" s="81">
        <v>6600</v>
      </c>
      <c r="D45" s="213">
        <v>4.866</v>
      </c>
      <c r="E45" s="361"/>
      <c r="F45" s="311"/>
      <c r="G45" s="317"/>
      <c r="H45" s="355"/>
      <c r="I45" s="178"/>
      <c r="J45" s="66"/>
      <c r="K45" s="65"/>
      <c r="L45" s="66"/>
      <c r="M45" s="65"/>
      <c r="N45" s="198"/>
      <c r="O45" s="56"/>
    </row>
    <row r="46" spans="1:15" ht="13.5" thickBot="1">
      <c r="A46" s="359"/>
      <c r="B46" s="201" t="s">
        <v>95</v>
      </c>
      <c r="C46" s="201">
        <v>17.25</v>
      </c>
      <c r="D46" s="213">
        <v>45.412</v>
      </c>
      <c r="E46" s="362"/>
      <c r="F46" s="364"/>
      <c r="G46" s="366"/>
      <c r="H46" s="356"/>
      <c r="I46" s="190"/>
      <c r="J46" s="211"/>
      <c r="K46" s="209"/>
      <c r="L46" s="211"/>
      <c r="M46" s="209"/>
      <c r="N46" s="20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52" t="s">
        <v>32</v>
      </c>
      <c r="B48" s="352"/>
      <c r="C48" s="352"/>
      <c r="D48" s="35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1"/>
      <c r="J49" s="1"/>
      <c r="K49" s="1" t="s">
        <v>118</v>
      </c>
      <c r="L49" s="1"/>
      <c r="M49" s="1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1"/>
      <c r="J50" s="1"/>
      <c r="K50" s="1" t="s">
        <v>119</v>
      </c>
      <c r="L50" s="1"/>
      <c r="M50" s="1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0">
      <selection activeCell="I49" sqref="I49:M5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379" t="s">
        <v>16</v>
      </c>
      <c r="B11" s="99" t="s">
        <v>95</v>
      </c>
      <c r="C11" s="87">
        <v>8960</v>
      </c>
      <c r="D11" s="6">
        <f>5.91+2.971+0.093</f>
        <v>8.974</v>
      </c>
      <c r="E11" s="233">
        <f>265+5</f>
        <v>270</v>
      </c>
      <c r="F11" s="234">
        <v>22.89</v>
      </c>
      <c r="G11" s="381">
        <f>150*84</f>
        <v>12600</v>
      </c>
      <c r="H11" s="375">
        <v>12.33</v>
      </c>
      <c r="I11" s="120"/>
      <c r="J11" s="122"/>
      <c r="K11" s="120"/>
      <c r="L11" s="122"/>
      <c r="M11" s="120"/>
      <c r="N11" s="122"/>
    </row>
    <row r="12" spans="1:14" ht="15.75" customHeight="1">
      <c r="A12" s="380"/>
      <c r="B12" s="104" t="s">
        <v>102</v>
      </c>
      <c r="C12" s="115">
        <v>0</v>
      </c>
      <c r="D12" s="8">
        <f>3.94+0.743+0.093</f>
        <v>4.776</v>
      </c>
      <c r="E12" s="377"/>
      <c r="F12" s="226"/>
      <c r="G12" s="230"/>
      <c r="H12" s="376"/>
      <c r="I12" s="84"/>
      <c r="J12" s="129"/>
      <c r="K12" s="84"/>
      <c r="L12" s="129"/>
      <c r="M12" s="84"/>
      <c r="N12" s="129"/>
    </row>
    <row r="13" spans="1:14" ht="15.75" customHeight="1" thickBot="1">
      <c r="A13" s="380"/>
      <c r="B13" s="104" t="s">
        <v>115</v>
      </c>
      <c r="C13" s="115">
        <v>17.25</v>
      </c>
      <c r="D13" s="8">
        <v>45.412</v>
      </c>
      <c r="E13" s="377"/>
      <c r="F13" s="226"/>
      <c r="G13" s="230"/>
      <c r="H13" s="376"/>
      <c r="I13" s="192"/>
      <c r="J13" s="132"/>
      <c r="K13" s="192"/>
      <c r="L13" s="132"/>
      <c r="M13" s="192"/>
      <c r="N13" s="132"/>
    </row>
    <row r="14" spans="1:14" ht="15" customHeight="1" thickTop="1">
      <c r="A14" s="384" t="s">
        <v>17</v>
      </c>
      <c r="B14" s="99" t="s">
        <v>95</v>
      </c>
      <c r="C14" s="114">
        <v>8920</v>
      </c>
      <c r="D14" s="6">
        <f>5.91+2.971+0.093</f>
        <v>8.974</v>
      </c>
      <c r="E14" s="373">
        <f>306+3</f>
        <v>309</v>
      </c>
      <c r="F14" s="374">
        <v>22.89</v>
      </c>
      <c r="G14" s="378">
        <f>150*84</f>
        <v>12600</v>
      </c>
      <c r="H14" s="372">
        <v>12.33</v>
      </c>
      <c r="I14" s="7"/>
      <c r="J14" s="180"/>
      <c r="K14" s="120"/>
      <c r="L14" s="122"/>
      <c r="M14" s="120"/>
      <c r="N14" s="122"/>
    </row>
    <row r="15" spans="1:14" ht="15" customHeight="1">
      <c r="A15" s="384"/>
      <c r="B15" s="104" t="s">
        <v>102</v>
      </c>
      <c r="C15" s="115">
        <v>0</v>
      </c>
      <c r="D15" s="8">
        <f>3.94+0.743+0.093</f>
        <v>4.776</v>
      </c>
      <c r="E15" s="373"/>
      <c r="F15" s="374"/>
      <c r="G15" s="378"/>
      <c r="H15" s="372"/>
      <c r="I15" s="7"/>
      <c r="J15" s="180"/>
      <c r="K15" s="84"/>
      <c r="L15" s="129"/>
      <c r="M15" s="84"/>
      <c r="N15" s="129"/>
    </row>
    <row r="16" spans="1:14" ht="15" customHeight="1" thickBot="1">
      <c r="A16" s="384"/>
      <c r="B16" s="104" t="s">
        <v>115</v>
      </c>
      <c r="C16" s="115">
        <v>17.25</v>
      </c>
      <c r="D16" s="8">
        <v>45.412</v>
      </c>
      <c r="E16" s="373"/>
      <c r="F16" s="374"/>
      <c r="G16" s="378"/>
      <c r="H16" s="372"/>
      <c r="I16" s="7"/>
      <c r="J16" s="180"/>
      <c r="K16" s="192"/>
      <c r="L16" s="132"/>
      <c r="M16" s="192"/>
      <c r="N16" s="132"/>
    </row>
    <row r="17" spans="1:14" ht="13.5" thickTop="1">
      <c r="A17" s="384" t="s">
        <v>18</v>
      </c>
      <c r="B17" s="99" t="s">
        <v>95</v>
      </c>
      <c r="C17" s="114">
        <v>9720</v>
      </c>
      <c r="D17" s="6">
        <f>5.91+2.971+0.093</f>
        <v>8.974</v>
      </c>
      <c r="E17" s="373">
        <f>438+9</f>
        <v>447</v>
      </c>
      <c r="F17" s="374">
        <v>22.89</v>
      </c>
      <c r="G17" s="378">
        <f>150*84</f>
        <v>12600</v>
      </c>
      <c r="H17" s="385">
        <v>12.33</v>
      </c>
      <c r="I17" s="120"/>
      <c r="J17" s="122"/>
      <c r="K17" s="120"/>
      <c r="L17" s="122"/>
      <c r="M17" s="120"/>
      <c r="N17" s="122"/>
    </row>
    <row r="18" spans="1:14" ht="12.75">
      <c r="A18" s="384"/>
      <c r="B18" s="104" t="s">
        <v>102</v>
      </c>
      <c r="C18" s="115">
        <v>0</v>
      </c>
      <c r="D18" s="8">
        <f>3.94+0.743+0.093</f>
        <v>4.776</v>
      </c>
      <c r="E18" s="373"/>
      <c r="F18" s="374"/>
      <c r="G18" s="378"/>
      <c r="H18" s="385"/>
      <c r="I18" s="84"/>
      <c r="J18" s="129"/>
      <c r="K18" s="84"/>
      <c r="L18" s="129"/>
      <c r="M18" s="84"/>
      <c r="N18" s="129"/>
    </row>
    <row r="19" spans="1:14" ht="13.5" thickBot="1">
      <c r="A19" s="384"/>
      <c r="B19" s="104" t="s">
        <v>115</v>
      </c>
      <c r="C19" s="115">
        <v>17.25</v>
      </c>
      <c r="D19" s="8">
        <v>45.412</v>
      </c>
      <c r="E19" s="373"/>
      <c r="F19" s="374"/>
      <c r="G19" s="378"/>
      <c r="H19" s="385"/>
      <c r="I19" s="192"/>
      <c r="J19" s="132"/>
      <c r="K19" s="192"/>
      <c r="L19" s="132"/>
      <c r="M19" s="192"/>
      <c r="N19" s="132"/>
    </row>
    <row r="20" spans="1:14" ht="13.5" thickTop="1">
      <c r="A20" s="369" t="s">
        <v>19</v>
      </c>
      <c r="B20" s="99" t="s">
        <v>95</v>
      </c>
      <c r="C20" s="114">
        <v>8480</v>
      </c>
      <c r="D20" s="6">
        <f>5.91+2.971+0.093</f>
        <v>8.974</v>
      </c>
      <c r="E20" s="373">
        <v>432</v>
      </c>
      <c r="F20" s="374">
        <v>25.76</v>
      </c>
      <c r="G20" s="378">
        <f>150*84</f>
        <v>12600</v>
      </c>
      <c r="H20" s="372">
        <v>12.33</v>
      </c>
      <c r="I20" s="7"/>
      <c r="J20" s="8"/>
      <c r="K20" s="7"/>
      <c r="L20" s="8"/>
      <c r="M20" s="7"/>
      <c r="N20" s="8"/>
    </row>
    <row r="21" spans="1:14" ht="12.75">
      <c r="A21" s="370"/>
      <c r="B21" s="104" t="s">
        <v>102</v>
      </c>
      <c r="C21" s="115">
        <v>0</v>
      </c>
      <c r="D21" s="8">
        <f>3.94+0.743+0.093</f>
        <v>4.776</v>
      </c>
      <c r="E21" s="373"/>
      <c r="F21" s="374"/>
      <c r="G21" s="378"/>
      <c r="H21" s="372"/>
      <c r="I21" s="7"/>
      <c r="J21" s="8"/>
      <c r="K21" s="7"/>
      <c r="L21" s="8"/>
      <c r="M21" s="7"/>
      <c r="N21" s="8"/>
    </row>
    <row r="22" spans="1:14" ht="13.5" thickBot="1">
      <c r="A22" s="370"/>
      <c r="B22" s="104" t="s">
        <v>115</v>
      </c>
      <c r="C22" s="115">
        <v>17.25</v>
      </c>
      <c r="D22" s="8">
        <v>45.412</v>
      </c>
      <c r="E22" s="373"/>
      <c r="F22" s="374"/>
      <c r="G22" s="378"/>
      <c r="H22" s="372"/>
      <c r="I22" s="7"/>
      <c r="J22" s="8"/>
      <c r="K22" s="7"/>
      <c r="L22" s="8"/>
      <c r="M22" s="7"/>
      <c r="N22" s="8"/>
    </row>
    <row r="23" spans="1:14" ht="13.5" thickTop="1">
      <c r="A23" s="369" t="s">
        <v>20</v>
      </c>
      <c r="B23" s="99" t="s">
        <v>95</v>
      </c>
      <c r="C23" s="114">
        <v>6220</v>
      </c>
      <c r="D23" s="6">
        <f>5.91+2.971+0.093</f>
        <v>8.974</v>
      </c>
      <c r="E23" s="373">
        <v>401</v>
      </c>
      <c r="F23" s="374">
        <v>25.76</v>
      </c>
      <c r="G23" s="229">
        <f>150*84</f>
        <v>12600</v>
      </c>
      <c r="H23" s="225">
        <v>12.33</v>
      </c>
      <c r="I23" s="14"/>
      <c r="J23" s="15"/>
      <c r="K23" s="14"/>
      <c r="L23" s="15"/>
      <c r="M23" s="14"/>
      <c r="N23" s="15"/>
    </row>
    <row r="24" spans="1:14" ht="12.75">
      <c r="A24" s="370"/>
      <c r="B24" s="104" t="s">
        <v>102</v>
      </c>
      <c r="C24" s="115">
        <v>0</v>
      </c>
      <c r="D24" s="8">
        <f>3.94+0.743+0.093</f>
        <v>4.776</v>
      </c>
      <c r="E24" s="373"/>
      <c r="F24" s="374"/>
      <c r="G24" s="371"/>
      <c r="H24" s="248"/>
      <c r="I24" s="7"/>
      <c r="J24" s="8"/>
      <c r="K24" s="7"/>
      <c r="L24" s="8"/>
      <c r="M24" s="7"/>
      <c r="N24" s="8"/>
    </row>
    <row r="25" spans="1:14" ht="13.5" thickBot="1">
      <c r="A25" s="370"/>
      <c r="B25" s="104" t="s">
        <v>115</v>
      </c>
      <c r="C25" s="115">
        <v>17.25</v>
      </c>
      <c r="D25" s="8">
        <v>45.412</v>
      </c>
      <c r="E25" s="373"/>
      <c r="F25" s="374"/>
      <c r="G25" s="371"/>
      <c r="H25" s="248"/>
      <c r="I25" s="7"/>
      <c r="J25" s="8"/>
      <c r="K25" s="7"/>
      <c r="L25" s="8"/>
      <c r="M25" s="7"/>
      <c r="N25" s="8"/>
    </row>
    <row r="26" spans="1:14" ht="13.5" thickTop="1">
      <c r="A26" s="369" t="s">
        <v>69</v>
      </c>
      <c r="B26" s="99" t="s">
        <v>95</v>
      </c>
      <c r="C26" s="114">
        <v>6420</v>
      </c>
      <c r="D26" s="6">
        <f>5.91+2.971+0.093</f>
        <v>8.974</v>
      </c>
      <c r="E26" s="373">
        <f>395+11</f>
        <v>406</v>
      </c>
      <c r="F26" s="374">
        <v>25.76</v>
      </c>
      <c r="G26" s="229">
        <f>150*84</f>
        <v>12600</v>
      </c>
      <c r="H26" s="225">
        <v>12.33</v>
      </c>
      <c r="I26" s="14"/>
      <c r="J26" s="15"/>
      <c r="K26" s="14"/>
      <c r="L26" s="15"/>
      <c r="M26" s="14"/>
      <c r="N26" s="15"/>
    </row>
    <row r="27" spans="1:14" ht="12.75">
      <c r="A27" s="370"/>
      <c r="B27" s="104" t="s">
        <v>102</v>
      </c>
      <c r="C27" s="115">
        <v>0</v>
      </c>
      <c r="D27" s="8">
        <f>3.94+0.743+0.093</f>
        <v>4.776</v>
      </c>
      <c r="E27" s="373"/>
      <c r="F27" s="374"/>
      <c r="G27" s="371"/>
      <c r="H27" s="248"/>
      <c r="I27" s="7"/>
      <c r="J27" s="8"/>
      <c r="K27" s="7"/>
      <c r="L27" s="8"/>
      <c r="M27" s="7"/>
      <c r="N27" s="8"/>
    </row>
    <row r="28" spans="1:14" ht="13.5" thickBot="1">
      <c r="A28" s="370"/>
      <c r="B28" s="104" t="s">
        <v>115</v>
      </c>
      <c r="C28" s="115">
        <v>17.25</v>
      </c>
      <c r="D28" s="8">
        <v>45.412</v>
      </c>
      <c r="E28" s="373"/>
      <c r="F28" s="374"/>
      <c r="G28" s="371"/>
      <c r="H28" s="248"/>
      <c r="I28" s="7"/>
      <c r="J28" s="8"/>
      <c r="K28" s="7"/>
      <c r="L28" s="8"/>
      <c r="M28" s="7"/>
      <c r="N28" s="8"/>
    </row>
    <row r="29" spans="1:14" ht="13.5" thickTop="1">
      <c r="A29" s="369" t="s">
        <v>70</v>
      </c>
      <c r="B29" s="155" t="s">
        <v>95</v>
      </c>
      <c r="C29" s="77">
        <v>5820</v>
      </c>
      <c r="D29" s="157">
        <f>5.91+2.971+0.093</f>
        <v>8.974</v>
      </c>
      <c r="E29" s="382">
        <f>497+7</f>
        <v>504</v>
      </c>
      <c r="F29" s="225">
        <v>25.76</v>
      </c>
      <c r="G29" s="229">
        <f>150*84</f>
        <v>12600</v>
      </c>
      <c r="H29" s="225">
        <v>12.33</v>
      </c>
      <c r="I29" s="14"/>
      <c r="J29" s="15"/>
      <c r="K29" s="14"/>
      <c r="L29" s="15"/>
      <c r="M29" s="14"/>
      <c r="N29" s="15"/>
    </row>
    <row r="30" spans="1:14" ht="12.75">
      <c r="A30" s="370"/>
      <c r="B30" s="156" t="s">
        <v>102</v>
      </c>
      <c r="C30" s="78">
        <v>0</v>
      </c>
      <c r="D30" s="158">
        <f>3.94+0.743+0.093</f>
        <v>4.776</v>
      </c>
      <c r="E30" s="383"/>
      <c r="F30" s="248"/>
      <c r="G30" s="371"/>
      <c r="H30" s="248"/>
      <c r="I30" s="7"/>
      <c r="J30" s="8"/>
      <c r="K30" s="7"/>
      <c r="L30" s="8"/>
      <c r="M30" s="7"/>
      <c r="N30" s="8"/>
    </row>
    <row r="31" spans="1:14" ht="13.5" thickBot="1">
      <c r="A31" s="370"/>
      <c r="B31" s="156" t="s">
        <v>115</v>
      </c>
      <c r="C31" s="159">
        <v>17.25</v>
      </c>
      <c r="D31" s="158">
        <v>45.412</v>
      </c>
      <c r="E31" s="383"/>
      <c r="F31" s="248"/>
      <c r="G31" s="371"/>
      <c r="H31" s="248"/>
      <c r="I31" s="7"/>
      <c r="J31" s="8"/>
      <c r="K31" s="7"/>
      <c r="L31" s="8"/>
      <c r="M31" s="7"/>
      <c r="N31" s="8"/>
    </row>
    <row r="32" spans="1:14" ht="12.75">
      <c r="A32" s="369" t="s">
        <v>22</v>
      </c>
      <c r="B32" s="155" t="s">
        <v>95</v>
      </c>
      <c r="C32" s="77">
        <v>5140</v>
      </c>
      <c r="D32" s="160">
        <f>6.04+2.971+0.093</f>
        <v>9.104</v>
      </c>
      <c r="E32" s="382">
        <f>358+4</f>
        <v>362</v>
      </c>
      <c r="F32" s="225">
        <v>25.76</v>
      </c>
      <c r="G32" s="229">
        <f>150*84</f>
        <v>12600</v>
      </c>
      <c r="H32" s="367">
        <v>12.33</v>
      </c>
      <c r="I32" s="146"/>
      <c r="J32" s="161"/>
      <c r="K32" s="146"/>
      <c r="L32" s="161"/>
      <c r="M32" s="146"/>
      <c r="N32" s="161"/>
    </row>
    <row r="33" spans="1:14" ht="12.75" customHeight="1">
      <c r="A33" s="370"/>
      <c r="B33" s="156" t="s">
        <v>102</v>
      </c>
      <c r="C33" s="78">
        <v>0</v>
      </c>
      <c r="D33" s="158">
        <v>0</v>
      </c>
      <c r="E33" s="383"/>
      <c r="F33" s="248"/>
      <c r="G33" s="371"/>
      <c r="H33" s="368"/>
      <c r="I33" s="147"/>
      <c r="J33" s="162"/>
      <c r="K33" s="147"/>
      <c r="L33" s="162"/>
      <c r="M33" s="147"/>
      <c r="N33" s="162"/>
    </row>
    <row r="34" spans="1:14" ht="12.75" customHeight="1" thickBot="1">
      <c r="A34" s="370"/>
      <c r="B34" s="156" t="s">
        <v>115</v>
      </c>
      <c r="C34" s="159">
        <v>17.25</v>
      </c>
      <c r="D34" s="158">
        <v>45.412</v>
      </c>
      <c r="E34" s="383"/>
      <c r="F34" s="248"/>
      <c r="G34" s="371"/>
      <c r="H34" s="368"/>
      <c r="I34" s="148"/>
      <c r="J34" s="163"/>
      <c r="K34" s="148"/>
      <c r="L34" s="163"/>
      <c r="M34" s="148"/>
      <c r="N34" s="163"/>
    </row>
    <row r="35" spans="1:14" ht="12.75" customHeight="1">
      <c r="A35" s="369" t="s">
        <v>23</v>
      </c>
      <c r="B35" s="99" t="s">
        <v>95</v>
      </c>
      <c r="C35" s="115">
        <v>6780</v>
      </c>
      <c r="D35" s="160">
        <f>6.04+2.971+0.093</f>
        <v>9.104</v>
      </c>
      <c r="E35" s="382">
        <f>509+9</f>
        <v>518</v>
      </c>
      <c r="F35" s="225">
        <v>25.76</v>
      </c>
      <c r="G35" s="229">
        <f>150*84</f>
        <v>12600</v>
      </c>
      <c r="H35" s="367">
        <v>12.33</v>
      </c>
      <c r="I35" s="146"/>
      <c r="J35" s="161"/>
      <c r="K35" s="146"/>
      <c r="L35" s="161"/>
      <c r="M35" s="146"/>
      <c r="N35" s="161"/>
    </row>
    <row r="36" spans="1:14" ht="12.75" customHeight="1">
      <c r="A36" s="370"/>
      <c r="B36" s="104" t="s">
        <v>102</v>
      </c>
      <c r="C36" s="115">
        <v>0</v>
      </c>
      <c r="D36" s="158">
        <v>0</v>
      </c>
      <c r="E36" s="383"/>
      <c r="F36" s="248"/>
      <c r="G36" s="371"/>
      <c r="H36" s="368"/>
      <c r="I36" s="147"/>
      <c r="J36" s="162"/>
      <c r="K36" s="147"/>
      <c r="L36" s="162"/>
      <c r="M36" s="147"/>
      <c r="N36" s="162"/>
    </row>
    <row r="37" spans="1:14" ht="12.75" customHeight="1" thickBot="1">
      <c r="A37" s="370"/>
      <c r="B37" s="104" t="s">
        <v>115</v>
      </c>
      <c r="C37" s="115">
        <v>17.25</v>
      </c>
      <c r="D37" s="158">
        <v>45.412</v>
      </c>
      <c r="E37" s="383"/>
      <c r="F37" s="248"/>
      <c r="G37" s="371"/>
      <c r="H37" s="368"/>
      <c r="I37" s="148"/>
      <c r="J37" s="163"/>
      <c r="K37" s="148"/>
      <c r="L37" s="163"/>
      <c r="M37" s="148"/>
      <c r="N37" s="163"/>
    </row>
    <row r="38" spans="1:14" ht="12.75">
      <c r="A38" s="369" t="s">
        <v>24</v>
      </c>
      <c r="B38" s="155" t="s">
        <v>95</v>
      </c>
      <c r="C38" s="146">
        <v>7260</v>
      </c>
      <c r="D38" s="161">
        <f>6.04+2.971+0.093</f>
        <v>9.104</v>
      </c>
      <c r="E38" s="223">
        <f>374+5</f>
        <v>379</v>
      </c>
      <c r="F38" s="225">
        <v>25.76</v>
      </c>
      <c r="G38" s="229">
        <f>150*84</f>
        <v>12600</v>
      </c>
      <c r="H38" s="367">
        <v>12.33</v>
      </c>
      <c r="I38" s="146"/>
      <c r="J38" s="161"/>
      <c r="K38" s="146"/>
      <c r="L38" s="161"/>
      <c r="M38" s="146"/>
      <c r="N38" s="161"/>
    </row>
    <row r="39" spans="1:14" ht="15" customHeight="1">
      <c r="A39" s="370"/>
      <c r="B39" s="156" t="s">
        <v>102</v>
      </c>
      <c r="C39" s="147">
        <v>0</v>
      </c>
      <c r="D39" s="162">
        <v>0</v>
      </c>
      <c r="E39" s="265"/>
      <c r="F39" s="248"/>
      <c r="G39" s="371"/>
      <c r="H39" s="368"/>
      <c r="I39" s="147"/>
      <c r="J39" s="162"/>
      <c r="K39" s="147"/>
      <c r="L39" s="162"/>
      <c r="M39" s="147"/>
      <c r="N39" s="162"/>
    </row>
    <row r="40" spans="1:14" ht="15" customHeight="1" thickBot="1">
      <c r="A40" s="370"/>
      <c r="B40" s="156" t="s">
        <v>115</v>
      </c>
      <c r="C40" s="148">
        <v>17.25</v>
      </c>
      <c r="D40" s="163">
        <v>45.412</v>
      </c>
      <c r="E40" s="265"/>
      <c r="F40" s="248"/>
      <c r="G40" s="371"/>
      <c r="H40" s="368"/>
      <c r="I40" s="148"/>
      <c r="J40" s="163"/>
      <c r="K40" s="148"/>
      <c r="L40" s="163"/>
      <c r="M40" s="148"/>
      <c r="N40" s="163"/>
    </row>
    <row r="41" spans="1:14" ht="12.75">
      <c r="A41" s="369" t="s">
        <v>25</v>
      </c>
      <c r="B41" s="155" t="s">
        <v>95</v>
      </c>
      <c r="C41" s="175">
        <v>6560</v>
      </c>
      <c r="D41" s="122">
        <v>9.104</v>
      </c>
      <c r="E41" s="223">
        <f>239+6</f>
        <v>245</v>
      </c>
      <c r="F41" s="225">
        <v>25.76</v>
      </c>
      <c r="G41" s="229">
        <f>150*84</f>
        <v>12600</v>
      </c>
      <c r="H41" s="367">
        <v>12.33</v>
      </c>
      <c r="I41" s="146"/>
      <c r="J41" s="161"/>
      <c r="K41" s="146"/>
      <c r="L41" s="161"/>
      <c r="M41" s="146"/>
      <c r="N41" s="161"/>
    </row>
    <row r="42" spans="1:14" ht="15" customHeight="1">
      <c r="A42" s="370"/>
      <c r="B42" s="156" t="s">
        <v>102</v>
      </c>
      <c r="C42" s="176">
        <v>0</v>
      </c>
      <c r="D42" s="129">
        <v>0</v>
      </c>
      <c r="E42" s="265"/>
      <c r="F42" s="248"/>
      <c r="G42" s="371"/>
      <c r="H42" s="368"/>
      <c r="I42" s="147"/>
      <c r="J42" s="162"/>
      <c r="K42" s="147"/>
      <c r="L42" s="162"/>
      <c r="M42" s="147"/>
      <c r="N42" s="162"/>
    </row>
    <row r="43" spans="1:14" ht="15" customHeight="1" thickBot="1">
      <c r="A43" s="370"/>
      <c r="B43" s="156" t="s">
        <v>115</v>
      </c>
      <c r="C43" s="177">
        <v>17.25</v>
      </c>
      <c r="D43" s="132">
        <v>45.412</v>
      </c>
      <c r="E43" s="265"/>
      <c r="F43" s="248"/>
      <c r="G43" s="371"/>
      <c r="H43" s="368"/>
      <c r="I43" s="148"/>
      <c r="J43" s="163"/>
      <c r="K43" s="148"/>
      <c r="L43" s="163"/>
      <c r="M43" s="148"/>
      <c r="N43" s="163"/>
    </row>
    <row r="44" spans="1:14" ht="12.75">
      <c r="A44" s="392" t="s">
        <v>26</v>
      </c>
      <c r="B44" s="214" t="s">
        <v>95</v>
      </c>
      <c r="C44" s="146">
        <v>8720</v>
      </c>
      <c r="D44" s="122">
        <v>9.104</v>
      </c>
      <c r="E44" s="389">
        <v>238</v>
      </c>
      <c r="F44" s="389">
        <v>25.76</v>
      </c>
      <c r="G44" s="395">
        <f>150*84</f>
        <v>12600</v>
      </c>
      <c r="H44" s="387">
        <v>12.33</v>
      </c>
      <c r="I44" s="146"/>
      <c r="J44" s="161"/>
      <c r="K44" s="146"/>
      <c r="L44" s="161"/>
      <c r="M44" s="146"/>
      <c r="N44" s="161"/>
    </row>
    <row r="45" spans="1:14" ht="15" customHeight="1">
      <c r="A45" s="393"/>
      <c r="B45" s="215" t="s">
        <v>102</v>
      </c>
      <c r="C45" s="147">
        <v>0</v>
      </c>
      <c r="D45" s="129">
        <v>0</v>
      </c>
      <c r="E45" s="390"/>
      <c r="F45" s="390"/>
      <c r="G45" s="396"/>
      <c r="H45" s="368"/>
      <c r="I45" s="147"/>
      <c r="J45" s="162"/>
      <c r="K45" s="147"/>
      <c r="L45" s="162"/>
      <c r="M45" s="147"/>
      <c r="N45" s="162"/>
    </row>
    <row r="46" spans="1:14" ht="15" customHeight="1" thickBot="1">
      <c r="A46" s="394"/>
      <c r="B46" s="216" t="s">
        <v>115</v>
      </c>
      <c r="C46" s="148">
        <v>17.25</v>
      </c>
      <c r="D46" s="132">
        <v>45.412</v>
      </c>
      <c r="E46" s="391"/>
      <c r="F46" s="391"/>
      <c r="G46" s="397"/>
      <c r="H46" s="388"/>
      <c r="I46" s="148"/>
      <c r="J46" s="163"/>
      <c r="K46" s="148"/>
      <c r="L46" s="163"/>
      <c r="M46" s="148"/>
      <c r="N46" s="163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56" t="s">
        <v>32</v>
      </c>
      <c r="B48" s="256"/>
      <c r="C48" s="256"/>
      <c r="D48" s="25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1"/>
      <c r="J49" s="1"/>
      <c r="K49" s="1" t="s">
        <v>118</v>
      </c>
      <c r="L49" s="1"/>
      <c r="M49" s="1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1"/>
      <c r="J50" s="1"/>
      <c r="K50" s="1" t="s">
        <v>119</v>
      </c>
      <c r="L50" s="1"/>
      <c r="M50" s="1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5">
      <selection activeCell="I37" sqref="I37:M38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264"/>
      <c r="C10" s="265"/>
      <c r="D10" s="248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55" t="s">
        <v>16</v>
      </c>
      <c r="B11" s="99" t="s">
        <v>95</v>
      </c>
      <c r="C11" s="121">
        <v>2980</v>
      </c>
      <c r="D11" s="122">
        <f>5.25+2.599+0.093</f>
        <v>7.942</v>
      </c>
      <c r="E11" s="262">
        <v>237</v>
      </c>
      <c r="F11" s="247">
        <v>22.89</v>
      </c>
      <c r="G11" s="261">
        <f>182*84</f>
        <v>15288</v>
      </c>
      <c r="H11" s="237">
        <v>12.33</v>
      </c>
      <c r="I11" s="7"/>
      <c r="J11" s="8"/>
      <c r="K11" s="7"/>
      <c r="L11" s="8"/>
      <c r="M11" s="7"/>
      <c r="N11" s="8"/>
    </row>
    <row r="12" spans="1:14" ht="15" customHeight="1">
      <c r="A12" s="228"/>
      <c r="B12" s="102" t="s">
        <v>113</v>
      </c>
      <c r="C12" s="113">
        <v>17.25</v>
      </c>
      <c r="D12" s="130">
        <v>45.412</v>
      </c>
      <c r="E12" s="224"/>
      <c r="F12" s="226"/>
      <c r="G12" s="230"/>
      <c r="H12" s="232"/>
      <c r="I12" s="7"/>
      <c r="J12" s="8"/>
      <c r="K12" s="7"/>
      <c r="L12" s="8"/>
      <c r="M12" s="7"/>
      <c r="N12" s="8"/>
    </row>
    <row r="13" spans="1:14" ht="15" customHeight="1">
      <c r="A13" s="227" t="s">
        <v>17</v>
      </c>
      <c r="B13" s="104" t="s">
        <v>95</v>
      </c>
      <c r="C13" s="115">
        <v>2100</v>
      </c>
      <c r="D13" s="129">
        <v>7.942</v>
      </c>
      <c r="E13" s="223">
        <v>208</v>
      </c>
      <c r="F13" s="231">
        <v>22.89</v>
      </c>
      <c r="G13" s="229">
        <f>182*84</f>
        <v>15288</v>
      </c>
      <c r="H13" s="231">
        <v>12.33</v>
      </c>
      <c r="I13" s="14"/>
      <c r="J13" s="15"/>
      <c r="K13" s="14"/>
      <c r="L13" s="15"/>
      <c r="M13" s="14"/>
      <c r="N13" s="15"/>
    </row>
    <row r="14" spans="1:14" ht="15" customHeight="1">
      <c r="A14" s="228"/>
      <c r="B14" s="104" t="s">
        <v>96</v>
      </c>
      <c r="C14" s="113">
        <v>17.25</v>
      </c>
      <c r="D14" s="130">
        <v>45.412</v>
      </c>
      <c r="E14" s="224"/>
      <c r="F14" s="232"/>
      <c r="G14" s="230"/>
      <c r="H14" s="232"/>
      <c r="I14" s="21"/>
      <c r="J14" s="22"/>
      <c r="K14" s="21"/>
      <c r="L14" s="22"/>
      <c r="M14" s="21"/>
      <c r="N14" s="22"/>
    </row>
    <row r="15" spans="1:14" ht="15" customHeight="1">
      <c r="A15" s="227" t="s">
        <v>18</v>
      </c>
      <c r="B15" s="106" t="s">
        <v>95</v>
      </c>
      <c r="C15" s="115">
        <v>2460</v>
      </c>
      <c r="D15" s="129">
        <v>7.942</v>
      </c>
      <c r="E15" s="223">
        <v>194</v>
      </c>
      <c r="F15" s="231">
        <v>22.89</v>
      </c>
      <c r="G15" s="229">
        <f>182*84</f>
        <v>15288</v>
      </c>
      <c r="H15" s="231">
        <v>12.33</v>
      </c>
      <c r="I15" s="14"/>
      <c r="J15" s="15"/>
      <c r="K15" s="14"/>
      <c r="L15" s="15"/>
      <c r="M15" s="14"/>
      <c r="N15" s="15"/>
    </row>
    <row r="16" spans="1:14" ht="15" customHeight="1">
      <c r="A16" s="228"/>
      <c r="B16" s="102" t="s">
        <v>96</v>
      </c>
      <c r="C16" s="113">
        <v>17.25</v>
      </c>
      <c r="D16" s="130">
        <v>45.412</v>
      </c>
      <c r="E16" s="224"/>
      <c r="F16" s="232"/>
      <c r="G16" s="230"/>
      <c r="H16" s="232"/>
      <c r="I16" s="21"/>
      <c r="J16" s="22"/>
      <c r="K16" s="21"/>
      <c r="L16" s="22"/>
      <c r="M16" s="21"/>
      <c r="N16" s="22"/>
    </row>
    <row r="17" spans="1:14" ht="15" customHeight="1">
      <c r="A17" s="227" t="s">
        <v>19</v>
      </c>
      <c r="B17" s="106" t="s">
        <v>95</v>
      </c>
      <c r="C17" s="115">
        <v>1980</v>
      </c>
      <c r="D17" s="129">
        <v>7.942</v>
      </c>
      <c r="E17" s="223">
        <v>147</v>
      </c>
      <c r="F17" s="231">
        <v>25.76</v>
      </c>
      <c r="G17" s="229">
        <f>182*84</f>
        <v>15288</v>
      </c>
      <c r="H17" s="231">
        <v>12.33</v>
      </c>
      <c r="I17" s="14"/>
      <c r="J17" s="15"/>
      <c r="K17" s="14"/>
      <c r="L17" s="15"/>
      <c r="M17" s="14"/>
      <c r="N17" s="15"/>
    </row>
    <row r="18" spans="1:14" ht="12.75">
      <c r="A18" s="228"/>
      <c r="B18" s="102" t="s">
        <v>96</v>
      </c>
      <c r="C18" s="113">
        <v>17.25</v>
      </c>
      <c r="D18" s="130">
        <v>45.412</v>
      </c>
      <c r="E18" s="224"/>
      <c r="F18" s="232"/>
      <c r="G18" s="230"/>
      <c r="H18" s="232"/>
      <c r="I18" s="21"/>
      <c r="J18" s="22"/>
      <c r="K18" s="21"/>
      <c r="L18" s="22"/>
      <c r="M18" s="21"/>
      <c r="N18" s="22"/>
    </row>
    <row r="19" spans="1:14" ht="12.75">
      <c r="A19" s="227" t="s">
        <v>20</v>
      </c>
      <c r="B19" s="106" t="s">
        <v>95</v>
      </c>
      <c r="C19" s="115">
        <v>1560</v>
      </c>
      <c r="D19" s="129">
        <v>7.942</v>
      </c>
      <c r="E19" s="223">
        <v>109</v>
      </c>
      <c r="F19" s="231">
        <v>25.76</v>
      </c>
      <c r="G19" s="229">
        <f>182*84</f>
        <v>15288</v>
      </c>
      <c r="H19" s="225">
        <v>12.33</v>
      </c>
      <c r="I19" s="14"/>
      <c r="J19" s="15"/>
      <c r="K19" s="14"/>
      <c r="L19" s="15"/>
      <c r="M19" s="14"/>
      <c r="N19" s="15"/>
    </row>
    <row r="20" spans="1:14" ht="12.75">
      <c r="A20" s="228"/>
      <c r="B20" s="102" t="s">
        <v>96</v>
      </c>
      <c r="C20" s="113">
        <v>17.25</v>
      </c>
      <c r="D20" s="130">
        <v>45.412</v>
      </c>
      <c r="E20" s="224"/>
      <c r="F20" s="232"/>
      <c r="G20" s="230"/>
      <c r="H20" s="226"/>
      <c r="I20" s="21"/>
      <c r="J20" s="22"/>
      <c r="K20" s="21"/>
      <c r="L20" s="22"/>
      <c r="M20" s="21"/>
      <c r="N20" s="22"/>
    </row>
    <row r="21" spans="1:14" ht="12.75">
      <c r="A21" s="227" t="s">
        <v>69</v>
      </c>
      <c r="B21" s="106" t="s">
        <v>95</v>
      </c>
      <c r="C21" s="115">
        <v>1120</v>
      </c>
      <c r="D21" s="129">
        <v>7.942</v>
      </c>
      <c r="E21" s="223">
        <v>118</v>
      </c>
      <c r="F21" s="231">
        <v>25.76</v>
      </c>
      <c r="G21" s="229">
        <f>182*84</f>
        <v>15288</v>
      </c>
      <c r="H21" s="225">
        <v>12.33</v>
      </c>
      <c r="I21" s="14"/>
      <c r="J21" s="15"/>
      <c r="K21" s="14"/>
      <c r="L21" s="15"/>
      <c r="M21" s="14"/>
      <c r="N21" s="15"/>
    </row>
    <row r="22" spans="1:14" ht="12.75">
      <c r="A22" s="228"/>
      <c r="B22" s="102" t="s">
        <v>96</v>
      </c>
      <c r="C22" s="113">
        <v>17.25</v>
      </c>
      <c r="D22" s="130">
        <v>45.412</v>
      </c>
      <c r="E22" s="224"/>
      <c r="F22" s="232"/>
      <c r="G22" s="230"/>
      <c r="H22" s="226"/>
      <c r="I22" s="21"/>
      <c r="J22" s="22"/>
      <c r="K22" s="21"/>
      <c r="L22" s="22"/>
      <c r="M22" s="21"/>
      <c r="N22" s="22"/>
    </row>
    <row r="23" spans="1:14" ht="12.75">
      <c r="A23" s="227" t="s">
        <v>70</v>
      </c>
      <c r="B23" s="106" t="s">
        <v>95</v>
      </c>
      <c r="C23" s="115">
        <v>920</v>
      </c>
      <c r="D23" s="129">
        <v>7.942</v>
      </c>
      <c r="E23" s="223">
        <v>115</v>
      </c>
      <c r="F23" s="225">
        <v>25.76</v>
      </c>
      <c r="G23" s="229">
        <f>182*84</f>
        <v>15288</v>
      </c>
      <c r="H23" s="225">
        <v>12.33</v>
      </c>
      <c r="I23" s="14"/>
      <c r="J23" s="15"/>
      <c r="K23" s="14"/>
      <c r="L23" s="15"/>
      <c r="M23" s="14"/>
      <c r="N23" s="15"/>
    </row>
    <row r="24" spans="1:14" ht="12.75">
      <c r="A24" s="228"/>
      <c r="B24" s="102" t="s">
        <v>96</v>
      </c>
      <c r="C24" s="113">
        <v>17.25</v>
      </c>
      <c r="D24" s="130">
        <v>45.412</v>
      </c>
      <c r="E24" s="224"/>
      <c r="F24" s="226"/>
      <c r="G24" s="230"/>
      <c r="H24" s="226"/>
      <c r="I24" s="21"/>
      <c r="J24" s="22"/>
      <c r="K24" s="21"/>
      <c r="L24" s="22"/>
      <c r="M24" s="21"/>
      <c r="N24" s="22"/>
    </row>
    <row r="25" spans="1:14" ht="12.75">
      <c r="A25" s="227" t="s">
        <v>22</v>
      </c>
      <c r="B25" s="106" t="s">
        <v>95</v>
      </c>
      <c r="C25" s="115">
        <v>980</v>
      </c>
      <c r="D25" s="129">
        <f>5.37+2.599+0.093</f>
        <v>8.062000000000001</v>
      </c>
      <c r="E25" s="223">
        <v>63</v>
      </c>
      <c r="F25" s="225">
        <v>25.76</v>
      </c>
      <c r="G25" s="229">
        <f>182*84</f>
        <v>15288</v>
      </c>
      <c r="H25" s="225">
        <v>12.33</v>
      </c>
      <c r="I25" s="21"/>
      <c r="J25" s="22"/>
      <c r="K25" s="21"/>
      <c r="L25" s="22"/>
      <c r="M25" s="21"/>
      <c r="N25" s="22"/>
    </row>
    <row r="26" spans="1:14" ht="12.75">
      <c r="A26" s="228"/>
      <c r="B26" s="102" t="s">
        <v>96</v>
      </c>
      <c r="C26" s="113">
        <v>17.25</v>
      </c>
      <c r="D26" s="130">
        <v>45.412</v>
      </c>
      <c r="E26" s="224"/>
      <c r="F26" s="226"/>
      <c r="G26" s="230"/>
      <c r="H26" s="226"/>
      <c r="I26" s="4"/>
      <c r="J26" s="5"/>
      <c r="K26" s="4"/>
      <c r="L26" s="5"/>
      <c r="M26" s="4"/>
      <c r="N26" s="5"/>
    </row>
    <row r="27" spans="1:14" ht="12.75">
      <c r="A27" s="227" t="s">
        <v>23</v>
      </c>
      <c r="B27" s="106" t="s">
        <v>95</v>
      </c>
      <c r="C27" s="115">
        <v>1400</v>
      </c>
      <c r="D27" s="129">
        <f>5.37+2.599+0.093</f>
        <v>8.062000000000001</v>
      </c>
      <c r="E27" s="223">
        <v>130</v>
      </c>
      <c r="F27" s="225">
        <v>25.76</v>
      </c>
      <c r="G27" s="229">
        <f>182*84</f>
        <v>15288</v>
      </c>
      <c r="H27" s="225">
        <v>12.33</v>
      </c>
      <c r="I27" s="4"/>
      <c r="J27" s="5"/>
      <c r="K27" s="4"/>
      <c r="L27" s="5"/>
      <c r="M27" s="4"/>
      <c r="N27" s="5"/>
    </row>
    <row r="28" spans="1:14" ht="12.75">
      <c r="A28" s="228"/>
      <c r="B28" s="102" t="s">
        <v>96</v>
      </c>
      <c r="C28" s="113">
        <v>17.25</v>
      </c>
      <c r="D28" s="130">
        <v>45.412</v>
      </c>
      <c r="E28" s="224"/>
      <c r="F28" s="226"/>
      <c r="G28" s="230"/>
      <c r="H28" s="226"/>
      <c r="I28" s="4"/>
      <c r="J28" s="5"/>
      <c r="K28" s="4"/>
      <c r="L28" s="5"/>
      <c r="M28" s="4"/>
      <c r="N28" s="5"/>
    </row>
    <row r="29" spans="1:14" ht="12.75">
      <c r="A29" s="227" t="s">
        <v>24</v>
      </c>
      <c r="B29" s="106" t="s">
        <v>95</v>
      </c>
      <c r="C29" s="115">
        <v>2160</v>
      </c>
      <c r="D29" s="129">
        <v>8.062</v>
      </c>
      <c r="E29" s="223">
        <f>132</f>
        <v>132</v>
      </c>
      <c r="F29" s="225">
        <v>25.76</v>
      </c>
      <c r="G29" s="229">
        <f>182*84</f>
        <v>15288</v>
      </c>
      <c r="H29" s="225">
        <v>12.33</v>
      </c>
      <c r="I29" s="4"/>
      <c r="J29" s="5"/>
      <c r="K29" s="4"/>
      <c r="L29" s="5"/>
      <c r="M29" s="4"/>
      <c r="N29" s="5"/>
    </row>
    <row r="30" spans="1:14" ht="12.75">
      <c r="A30" s="228"/>
      <c r="B30" s="102" t="s">
        <v>96</v>
      </c>
      <c r="C30" s="113">
        <v>17.25</v>
      </c>
      <c r="D30" s="130">
        <v>45.412</v>
      </c>
      <c r="E30" s="224"/>
      <c r="F30" s="226"/>
      <c r="G30" s="230"/>
      <c r="H30" s="226"/>
      <c r="I30" s="4"/>
      <c r="J30" s="5"/>
      <c r="K30" s="4"/>
      <c r="L30" s="5"/>
      <c r="M30" s="4"/>
      <c r="N30" s="5"/>
    </row>
    <row r="31" spans="1:14" ht="12.75">
      <c r="A31" s="227" t="s">
        <v>25</v>
      </c>
      <c r="B31" s="106" t="s">
        <v>95</v>
      </c>
      <c r="C31" s="115">
        <v>1920</v>
      </c>
      <c r="D31" s="129">
        <v>8.062</v>
      </c>
      <c r="E31" s="223">
        <v>157</v>
      </c>
      <c r="F31" s="225">
        <v>25.76</v>
      </c>
      <c r="G31" s="229">
        <f>182*84</f>
        <v>15288</v>
      </c>
      <c r="H31" s="225">
        <v>12.33</v>
      </c>
      <c r="I31" s="4"/>
      <c r="J31" s="5"/>
      <c r="K31" s="4"/>
      <c r="L31" s="5"/>
      <c r="M31" s="4"/>
      <c r="N31" s="5"/>
    </row>
    <row r="32" spans="1:14" ht="12.75">
      <c r="A32" s="228"/>
      <c r="B32" s="102" t="s">
        <v>96</v>
      </c>
      <c r="C32" s="113">
        <v>17.25</v>
      </c>
      <c r="D32" s="130">
        <v>45.412</v>
      </c>
      <c r="E32" s="224"/>
      <c r="F32" s="226"/>
      <c r="G32" s="230"/>
      <c r="H32" s="226"/>
      <c r="I32" s="4"/>
      <c r="J32" s="5"/>
      <c r="K32" s="4"/>
      <c r="L32" s="5"/>
      <c r="M32" s="4"/>
      <c r="N32" s="5"/>
    </row>
    <row r="33" spans="1:14" ht="12.75">
      <c r="A33" s="227" t="s">
        <v>26</v>
      </c>
      <c r="B33" s="106" t="s">
        <v>95</v>
      </c>
      <c r="C33" s="115">
        <v>1900</v>
      </c>
      <c r="D33" s="129">
        <v>8.062</v>
      </c>
      <c r="E33" s="223">
        <v>163</v>
      </c>
      <c r="F33" s="225">
        <v>25.76</v>
      </c>
      <c r="G33" s="229">
        <f>182*84</f>
        <v>15288</v>
      </c>
      <c r="H33" s="225">
        <v>12.33</v>
      </c>
      <c r="I33" s="14"/>
      <c r="J33" s="15"/>
      <c r="K33" s="14"/>
      <c r="L33" s="15"/>
      <c r="M33" s="14"/>
      <c r="N33" s="15"/>
    </row>
    <row r="34" spans="1:14" ht="13.5" thickBot="1">
      <c r="A34" s="266"/>
      <c r="B34" s="108" t="s">
        <v>96</v>
      </c>
      <c r="C34" s="131">
        <v>17.25</v>
      </c>
      <c r="D34" s="130">
        <v>45.412</v>
      </c>
      <c r="E34" s="267"/>
      <c r="F34" s="254"/>
      <c r="G34" s="268"/>
      <c r="H34" s="25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56" t="s">
        <v>32</v>
      </c>
      <c r="B36" s="256"/>
      <c r="C36" s="256"/>
      <c r="D36" s="25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1"/>
      <c r="J37" s="1"/>
      <c r="K37" s="1" t="s">
        <v>118</v>
      </c>
      <c r="L37" s="1"/>
      <c r="M37" s="1"/>
      <c r="N37" s="33"/>
    </row>
    <row r="38" spans="1:14" s="37" customFormat="1" ht="12.75">
      <c r="A38" s="33"/>
      <c r="B38" s="256" t="s">
        <v>35</v>
      </c>
      <c r="C38" s="256"/>
      <c r="D38" s="256"/>
      <c r="E38" s="257"/>
      <c r="F38" s="33"/>
      <c r="G38" s="33"/>
      <c r="H38" s="33"/>
      <c r="I38" s="1"/>
      <c r="J38" s="1"/>
      <c r="K38" s="1" t="s">
        <v>119</v>
      </c>
      <c r="L38" s="1"/>
      <c r="M38" s="1"/>
      <c r="N38" s="33"/>
    </row>
    <row r="39" spans="1:14" s="37" customFormat="1" ht="12.75">
      <c r="A39" s="33"/>
      <c r="B39" s="256" t="s">
        <v>34</v>
      </c>
      <c r="C39" s="256"/>
      <c r="D39" s="25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76"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G15:G16"/>
    <mergeCell ref="H23:H24"/>
    <mergeCell ref="A23:A24"/>
    <mergeCell ref="E23:E24"/>
    <mergeCell ref="F23:F24"/>
    <mergeCell ref="G23:G24"/>
    <mergeCell ref="E11:E12"/>
    <mergeCell ref="F11:F12"/>
    <mergeCell ref="E13:E14"/>
    <mergeCell ref="F13:F14"/>
    <mergeCell ref="A15:A16"/>
    <mergeCell ref="E15:E16"/>
    <mergeCell ref="F15:F16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I9:J9"/>
    <mergeCell ref="K9:L9"/>
    <mergeCell ref="F9:F10"/>
    <mergeCell ref="G9:H9"/>
    <mergeCell ref="H13:H14"/>
    <mergeCell ref="G13:G14"/>
    <mergeCell ref="G11:G12"/>
    <mergeCell ref="H11:H12"/>
    <mergeCell ref="H19:H20"/>
    <mergeCell ref="E19:E20"/>
    <mergeCell ref="F19:F20"/>
    <mergeCell ref="H21:H22"/>
    <mergeCell ref="B38:E38"/>
    <mergeCell ref="B39:D39"/>
    <mergeCell ref="G27:G28"/>
    <mergeCell ref="H27:H28"/>
    <mergeCell ref="E27:E28"/>
    <mergeCell ref="F27:F28"/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A27:A28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38">
      <selection activeCell="I49" sqref="I49:M5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00" t="s">
        <v>29</v>
      </c>
      <c r="J1" s="400"/>
      <c r="K1" s="400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00" t="s">
        <v>2</v>
      </c>
      <c r="J2" s="400"/>
      <c r="K2" s="400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00" t="s">
        <v>3</v>
      </c>
      <c r="J3" s="400"/>
      <c r="K3" s="400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9" t="s">
        <v>16</v>
      </c>
      <c r="B11" s="99" t="s">
        <v>95</v>
      </c>
      <c r="C11" s="87">
        <v>3420</v>
      </c>
      <c r="D11" s="6">
        <f>5.91+2.971+0.093</f>
        <v>8.974</v>
      </c>
      <c r="E11" s="252">
        <v>80</v>
      </c>
      <c r="F11" s="247">
        <v>22.89</v>
      </c>
      <c r="G11" s="261">
        <f>317*84</f>
        <v>26628</v>
      </c>
      <c r="H11" s="237">
        <v>12.33</v>
      </c>
      <c r="I11" s="7"/>
      <c r="J11" s="8"/>
      <c r="K11" s="7"/>
      <c r="L11" s="8"/>
      <c r="M11" s="7"/>
      <c r="N11" s="8"/>
    </row>
    <row r="12" spans="1:14" ht="15.75" customHeight="1">
      <c r="A12" s="370"/>
      <c r="B12" s="104" t="s">
        <v>102</v>
      </c>
      <c r="C12" s="115">
        <v>0</v>
      </c>
      <c r="D12" s="8">
        <f>3.94+0.743+0.093</f>
        <v>4.776</v>
      </c>
      <c r="E12" s="383"/>
      <c r="F12" s="248"/>
      <c r="G12" s="371"/>
      <c r="H12" s="398"/>
      <c r="I12" s="7"/>
      <c r="J12" s="8"/>
      <c r="K12" s="7"/>
      <c r="L12" s="8"/>
      <c r="M12" s="7"/>
      <c r="N12" s="8"/>
    </row>
    <row r="13" spans="1:14" ht="15.75" customHeight="1" thickBot="1">
      <c r="A13" s="370"/>
      <c r="B13" s="104" t="s">
        <v>115</v>
      </c>
      <c r="C13" s="115">
        <v>17.25</v>
      </c>
      <c r="D13" s="8">
        <v>45.412</v>
      </c>
      <c r="E13" s="383"/>
      <c r="F13" s="248"/>
      <c r="G13" s="371"/>
      <c r="H13" s="398"/>
      <c r="I13" s="7"/>
      <c r="J13" s="8"/>
      <c r="K13" s="7"/>
      <c r="L13" s="8"/>
      <c r="M13" s="7"/>
      <c r="N13" s="8"/>
    </row>
    <row r="14" spans="1:14" ht="15.75" customHeight="1" thickTop="1">
      <c r="A14" s="369" t="s">
        <v>17</v>
      </c>
      <c r="B14" s="99" t="s">
        <v>95</v>
      </c>
      <c r="C14" s="114">
        <v>3000</v>
      </c>
      <c r="D14" s="6">
        <f>5.91+2.971+0.093</f>
        <v>8.974</v>
      </c>
      <c r="E14" s="382">
        <v>40</v>
      </c>
      <c r="F14" s="231">
        <v>22.89</v>
      </c>
      <c r="G14" s="229">
        <f>317*84</f>
        <v>26628</v>
      </c>
      <c r="H14" s="231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70"/>
      <c r="B15" s="104" t="s">
        <v>102</v>
      </c>
      <c r="C15" s="115">
        <v>0</v>
      </c>
      <c r="D15" s="8">
        <f>3.94+0.743+0.093</f>
        <v>4.776</v>
      </c>
      <c r="E15" s="383"/>
      <c r="F15" s="398"/>
      <c r="G15" s="371"/>
      <c r="H15" s="398"/>
      <c r="I15" s="7"/>
      <c r="J15" s="8"/>
      <c r="K15" s="7"/>
      <c r="L15" s="8"/>
      <c r="M15" s="7"/>
      <c r="N15" s="8"/>
    </row>
    <row r="16" spans="1:14" ht="15.75" customHeight="1" thickBot="1">
      <c r="A16" s="370"/>
      <c r="B16" s="104" t="s">
        <v>101</v>
      </c>
      <c r="C16" s="115">
        <v>17.25</v>
      </c>
      <c r="D16" s="8">
        <v>45.412</v>
      </c>
      <c r="E16" s="383"/>
      <c r="F16" s="398"/>
      <c r="G16" s="371"/>
      <c r="H16" s="398"/>
      <c r="I16" s="7"/>
      <c r="J16" s="8"/>
      <c r="K16" s="7"/>
      <c r="L16" s="8"/>
      <c r="M16" s="7"/>
      <c r="N16" s="8"/>
    </row>
    <row r="17" spans="1:14" ht="15.75" customHeight="1" thickTop="1">
      <c r="A17" s="369" t="s">
        <v>18</v>
      </c>
      <c r="B17" s="99" t="s">
        <v>95</v>
      </c>
      <c r="C17" s="114">
        <v>3060</v>
      </c>
      <c r="D17" s="6">
        <f>5.91+2.971+0.093</f>
        <v>8.974</v>
      </c>
      <c r="E17" s="382">
        <v>55</v>
      </c>
      <c r="F17" s="231">
        <v>22.89</v>
      </c>
      <c r="G17" s="229">
        <f>317*84</f>
        <v>26628</v>
      </c>
      <c r="H17" s="231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70"/>
      <c r="B18" s="104" t="s">
        <v>102</v>
      </c>
      <c r="C18" s="115">
        <v>0</v>
      </c>
      <c r="D18" s="8">
        <f>3.94+0.743+0.093</f>
        <v>4.776</v>
      </c>
      <c r="E18" s="383"/>
      <c r="F18" s="398"/>
      <c r="G18" s="371"/>
      <c r="H18" s="398"/>
      <c r="I18" s="7"/>
      <c r="J18" s="8"/>
      <c r="K18" s="7"/>
      <c r="L18" s="8"/>
      <c r="M18" s="7"/>
      <c r="N18" s="8"/>
    </row>
    <row r="19" spans="1:14" ht="15.75" customHeight="1" thickBot="1">
      <c r="A19" s="370"/>
      <c r="B19" s="104" t="s">
        <v>101</v>
      </c>
      <c r="C19" s="115">
        <v>17.25</v>
      </c>
      <c r="D19" s="8">
        <v>45.412</v>
      </c>
      <c r="E19" s="383"/>
      <c r="F19" s="398"/>
      <c r="G19" s="371"/>
      <c r="H19" s="398"/>
      <c r="I19" s="7"/>
      <c r="J19" s="8"/>
      <c r="K19" s="7"/>
      <c r="L19" s="8"/>
      <c r="M19" s="7"/>
      <c r="N19" s="8"/>
    </row>
    <row r="20" spans="1:14" ht="15" customHeight="1" thickTop="1">
      <c r="A20" s="369" t="s">
        <v>19</v>
      </c>
      <c r="B20" s="99" t="s">
        <v>95</v>
      </c>
      <c r="C20" s="114">
        <v>2700</v>
      </c>
      <c r="D20" s="6">
        <f>5.91+2.971+0.093</f>
        <v>8.974</v>
      </c>
      <c r="E20" s="382">
        <v>46</v>
      </c>
      <c r="F20" s="231">
        <v>25.76</v>
      </c>
      <c r="G20" s="229">
        <f>317*84</f>
        <v>26628</v>
      </c>
      <c r="H20" s="231">
        <v>12.33</v>
      </c>
      <c r="I20" s="14"/>
      <c r="J20" s="15"/>
      <c r="K20" s="14"/>
      <c r="L20" s="15"/>
      <c r="M20" s="14"/>
      <c r="N20" s="15"/>
    </row>
    <row r="21" spans="1:14" ht="15" customHeight="1">
      <c r="A21" s="370"/>
      <c r="B21" s="104" t="s">
        <v>102</v>
      </c>
      <c r="C21" s="115">
        <v>0</v>
      </c>
      <c r="D21" s="8">
        <f>3.94+0.743+0.093</f>
        <v>4.776</v>
      </c>
      <c r="E21" s="383"/>
      <c r="F21" s="398"/>
      <c r="G21" s="371"/>
      <c r="H21" s="398"/>
      <c r="I21" s="7"/>
      <c r="J21" s="8"/>
      <c r="K21" s="7"/>
      <c r="L21" s="8"/>
      <c r="M21" s="7"/>
      <c r="N21" s="8"/>
    </row>
    <row r="22" spans="1:14" ht="15" customHeight="1" thickBot="1">
      <c r="A22" s="370"/>
      <c r="B22" s="104" t="s">
        <v>101</v>
      </c>
      <c r="C22" s="115">
        <v>17.25</v>
      </c>
      <c r="D22" s="8">
        <v>45.412</v>
      </c>
      <c r="E22" s="383"/>
      <c r="F22" s="398"/>
      <c r="G22" s="371"/>
      <c r="H22" s="398"/>
      <c r="I22" s="7"/>
      <c r="J22" s="8"/>
      <c r="K22" s="7"/>
      <c r="L22" s="8"/>
      <c r="M22" s="7"/>
      <c r="N22" s="8"/>
    </row>
    <row r="23" spans="1:14" ht="13.5" thickTop="1">
      <c r="A23" s="369" t="s">
        <v>20</v>
      </c>
      <c r="B23" s="99" t="s">
        <v>95</v>
      </c>
      <c r="C23" s="114">
        <v>150</v>
      </c>
      <c r="D23" s="6">
        <f>5.91+2.971+0.093</f>
        <v>8.974</v>
      </c>
      <c r="E23" s="382">
        <v>59</v>
      </c>
      <c r="F23" s="231">
        <v>25.76</v>
      </c>
      <c r="G23" s="229">
        <f>317*84</f>
        <v>26628</v>
      </c>
      <c r="H23" s="231">
        <v>12.33</v>
      </c>
      <c r="I23" s="14"/>
      <c r="J23" s="15"/>
      <c r="K23" s="14"/>
      <c r="L23" s="15"/>
      <c r="M23" s="14"/>
      <c r="N23" s="15"/>
    </row>
    <row r="24" spans="1:14" ht="12.75">
      <c r="A24" s="370"/>
      <c r="B24" s="104" t="s">
        <v>102</v>
      </c>
      <c r="C24" s="115">
        <v>0</v>
      </c>
      <c r="D24" s="8">
        <f>3.94+0.743+0.093</f>
        <v>4.776</v>
      </c>
      <c r="E24" s="383"/>
      <c r="F24" s="398"/>
      <c r="G24" s="371"/>
      <c r="H24" s="398"/>
      <c r="I24" s="7"/>
      <c r="J24" s="8"/>
      <c r="K24" s="7"/>
      <c r="L24" s="8"/>
      <c r="M24" s="7"/>
      <c r="N24" s="8"/>
    </row>
    <row r="25" spans="1:14" ht="13.5" thickBot="1">
      <c r="A25" s="370"/>
      <c r="B25" s="104" t="s">
        <v>101</v>
      </c>
      <c r="C25" s="115">
        <v>17.25</v>
      </c>
      <c r="D25" s="8">
        <v>45.412</v>
      </c>
      <c r="E25" s="383"/>
      <c r="F25" s="398"/>
      <c r="G25" s="371"/>
      <c r="H25" s="398"/>
      <c r="I25" s="7"/>
      <c r="J25" s="8"/>
      <c r="K25" s="7"/>
      <c r="L25" s="8"/>
      <c r="M25" s="7"/>
      <c r="N25" s="8"/>
    </row>
    <row r="26" spans="1:14" ht="13.5" thickTop="1">
      <c r="A26" s="369" t="s">
        <v>69</v>
      </c>
      <c r="B26" s="99" t="s">
        <v>95</v>
      </c>
      <c r="C26" s="114">
        <v>1530</v>
      </c>
      <c r="D26" s="6">
        <f>5.91+2.971+0.093</f>
        <v>8.974</v>
      </c>
      <c r="E26" s="382">
        <v>50</v>
      </c>
      <c r="F26" s="231">
        <v>25.76</v>
      </c>
      <c r="G26" s="229">
        <f>317*84</f>
        <v>26628</v>
      </c>
      <c r="H26" s="231">
        <v>12.33</v>
      </c>
      <c r="I26" s="14"/>
      <c r="J26" s="15"/>
      <c r="K26" s="14"/>
      <c r="L26" s="15"/>
      <c r="M26" s="14"/>
      <c r="N26" s="15"/>
    </row>
    <row r="27" spans="1:14" ht="12.75">
      <c r="A27" s="370"/>
      <c r="B27" s="104" t="s">
        <v>102</v>
      </c>
      <c r="C27" s="115">
        <v>0</v>
      </c>
      <c r="D27" s="8">
        <f>3.94+0.743+0.093</f>
        <v>4.776</v>
      </c>
      <c r="E27" s="383"/>
      <c r="F27" s="398"/>
      <c r="G27" s="371"/>
      <c r="H27" s="398"/>
      <c r="I27" s="7"/>
      <c r="J27" s="8"/>
      <c r="K27" s="7"/>
      <c r="L27" s="8"/>
      <c r="M27" s="7"/>
      <c r="N27" s="8"/>
    </row>
    <row r="28" spans="1:14" ht="13.5" thickBot="1">
      <c r="A28" s="370"/>
      <c r="B28" s="104" t="s">
        <v>101</v>
      </c>
      <c r="C28" s="115">
        <v>17.25</v>
      </c>
      <c r="D28" s="8">
        <v>45.412</v>
      </c>
      <c r="E28" s="383"/>
      <c r="F28" s="398"/>
      <c r="G28" s="371"/>
      <c r="H28" s="398"/>
      <c r="I28" s="7"/>
      <c r="J28" s="8"/>
      <c r="K28" s="7"/>
      <c r="L28" s="8"/>
      <c r="M28" s="7"/>
      <c r="N28" s="8"/>
    </row>
    <row r="29" spans="1:14" ht="13.5" thickTop="1">
      <c r="A29" s="369" t="s">
        <v>70</v>
      </c>
      <c r="B29" s="99" t="s">
        <v>95</v>
      </c>
      <c r="C29" s="114">
        <v>1080</v>
      </c>
      <c r="D29" s="6">
        <f>5.91+2.971+0.093</f>
        <v>8.974</v>
      </c>
      <c r="E29" s="382">
        <v>59</v>
      </c>
      <c r="F29" s="225">
        <v>25.76</v>
      </c>
      <c r="G29" s="229">
        <f>317*84</f>
        <v>26628</v>
      </c>
      <c r="H29" s="225">
        <v>12.33</v>
      </c>
      <c r="I29" s="14"/>
      <c r="J29" s="15"/>
      <c r="K29" s="14"/>
      <c r="L29" s="15"/>
      <c r="M29" s="14"/>
      <c r="N29" s="15"/>
    </row>
    <row r="30" spans="1:14" ht="12.75">
      <c r="A30" s="370"/>
      <c r="B30" s="104" t="s">
        <v>102</v>
      </c>
      <c r="C30" s="115">
        <v>0</v>
      </c>
      <c r="D30" s="8">
        <f>3.94+0.743+0.093</f>
        <v>4.776</v>
      </c>
      <c r="E30" s="383"/>
      <c r="F30" s="248"/>
      <c r="G30" s="371"/>
      <c r="H30" s="248"/>
      <c r="I30" s="7"/>
      <c r="J30" s="8"/>
      <c r="K30" s="7"/>
      <c r="L30" s="8"/>
      <c r="M30" s="7"/>
      <c r="N30" s="8"/>
    </row>
    <row r="31" spans="1:14" ht="12.75">
      <c r="A31" s="370"/>
      <c r="B31" s="104" t="s">
        <v>101</v>
      </c>
      <c r="C31" s="115">
        <v>17.25</v>
      </c>
      <c r="D31" s="8">
        <v>45.412</v>
      </c>
      <c r="E31" s="383"/>
      <c r="F31" s="248"/>
      <c r="G31" s="371"/>
      <c r="H31" s="248"/>
      <c r="I31" s="7"/>
      <c r="J31" s="8"/>
      <c r="K31" s="7"/>
      <c r="L31" s="8"/>
      <c r="M31" s="7"/>
      <c r="N31" s="8"/>
    </row>
    <row r="32" spans="1:14" ht="12.75">
      <c r="A32" s="369" t="s">
        <v>22</v>
      </c>
      <c r="B32" s="106" t="s">
        <v>95</v>
      </c>
      <c r="C32" s="114">
        <v>1140</v>
      </c>
      <c r="D32" s="15">
        <f>6.04+2.971+0.093</f>
        <v>9.104</v>
      </c>
      <c r="E32" s="382">
        <v>95</v>
      </c>
      <c r="F32" s="225">
        <v>25.76</v>
      </c>
      <c r="G32" s="229">
        <f>317*84</f>
        <v>26628</v>
      </c>
      <c r="H32" s="225">
        <v>12.33</v>
      </c>
      <c r="I32" s="21"/>
      <c r="J32" s="22"/>
      <c r="K32" s="21"/>
      <c r="L32" s="22"/>
      <c r="M32" s="21"/>
      <c r="N32" s="22"/>
    </row>
    <row r="33" spans="1:14" ht="12.75">
      <c r="A33" s="370"/>
      <c r="B33" s="102" t="s">
        <v>96</v>
      </c>
      <c r="C33" s="115">
        <v>0</v>
      </c>
      <c r="D33" s="8">
        <f>4.03+0.743+0.093</f>
        <v>4.8660000000000005</v>
      </c>
      <c r="E33" s="383"/>
      <c r="F33" s="248"/>
      <c r="G33" s="371"/>
      <c r="H33" s="248"/>
      <c r="I33" s="21"/>
      <c r="J33" s="22"/>
      <c r="K33" s="21"/>
      <c r="L33" s="22"/>
      <c r="M33" s="21"/>
      <c r="N33" s="22"/>
    </row>
    <row r="34" spans="1:14" ht="12.75">
      <c r="A34" s="370"/>
      <c r="B34" s="106" t="s">
        <v>95</v>
      </c>
      <c r="C34" s="115">
        <v>17.25</v>
      </c>
      <c r="D34" s="8">
        <v>45.412</v>
      </c>
      <c r="E34" s="383"/>
      <c r="F34" s="248"/>
      <c r="G34" s="371"/>
      <c r="H34" s="248"/>
      <c r="I34" s="21"/>
      <c r="J34" s="22"/>
      <c r="K34" s="21"/>
      <c r="L34" s="22"/>
      <c r="M34" s="21"/>
      <c r="N34" s="22"/>
    </row>
    <row r="35" spans="1:14" ht="12.75">
      <c r="A35" s="369" t="s">
        <v>23</v>
      </c>
      <c r="B35" s="106" t="s">
        <v>95</v>
      </c>
      <c r="C35" s="114">
        <v>1950</v>
      </c>
      <c r="D35" s="15">
        <f>6.04+2.971+0.093</f>
        <v>9.104</v>
      </c>
      <c r="E35" s="382">
        <v>97</v>
      </c>
      <c r="F35" s="225">
        <v>25.76</v>
      </c>
      <c r="G35" s="229">
        <f>317*84</f>
        <v>26628</v>
      </c>
      <c r="H35" s="225">
        <v>12.33</v>
      </c>
      <c r="I35" s="4"/>
      <c r="J35" s="5"/>
      <c r="K35" s="4"/>
      <c r="L35" s="5"/>
      <c r="M35" s="4"/>
      <c r="N35" s="5"/>
    </row>
    <row r="36" spans="1:14" ht="15" customHeight="1">
      <c r="A36" s="370"/>
      <c r="B36" s="102" t="s">
        <v>96</v>
      </c>
      <c r="C36" s="115">
        <v>0</v>
      </c>
      <c r="D36" s="8">
        <f>4.03+0.743+0.093</f>
        <v>4.8660000000000005</v>
      </c>
      <c r="E36" s="383"/>
      <c r="F36" s="248"/>
      <c r="G36" s="371"/>
      <c r="H36" s="248"/>
      <c r="I36" s="4"/>
      <c r="J36" s="5"/>
      <c r="K36" s="4"/>
      <c r="L36" s="5"/>
      <c r="M36" s="4"/>
      <c r="N36" s="5"/>
    </row>
    <row r="37" spans="1:14" ht="15" customHeight="1">
      <c r="A37" s="370"/>
      <c r="B37" s="106" t="s">
        <v>95</v>
      </c>
      <c r="C37" s="115">
        <v>17.25</v>
      </c>
      <c r="D37" s="8">
        <v>45.412</v>
      </c>
      <c r="E37" s="383"/>
      <c r="F37" s="248"/>
      <c r="G37" s="371"/>
      <c r="H37" s="248"/>
      <c r="I37" s="4"/>
      <c r="J37" s="5"/>
      <c r="K37" s="4"/>
      <c r="L37" s="5"/>
      <c r="M37" s="4"/>
      <c r="N37" s="5"/>
    </row>
    <row r="38" spans="1:14" ht="12.75">
      <c r="A38" s="369" t="s">
        <v>24</v>
      </c>
      <c r="B38" s="106" t="s">
        <v>95</v>
      </c>
      <c r="C38" s="114">
        <v>2700</v>
      </c>
      <c r="D38" s="15">
        <f>6.04+2.971+0.093</f>
        <v>9.104</v>
      </c>
      <c r="E38" s="382">
        <f>81</f>
        <v>81</v>
      </c>
      <c r="F38" s="225">
        <v>25.76</v>
      </c>
      <c r="G38" s="229">
        <f>317*84</f>
        <v>26628</v>
      </c>
      <c r="H38" s="225">
        <v>12.33</v>
      </c>
      <c r="I38" s="4"/>
      <c r="J38" s="5"/>
      <c r="K38" s="4"/>
      <c r="L38" s="5"/>
      <c r="M38" s="4"/>
      <c r="N38" s="5"/>
    </row>
    <row r="39" spans="1:14" ht="15" customHeight="1" thickBot="1">
      <c r="A39" s="370"/>
      <c r="B39" s="108" t="s">
        <v>96</v>
      </c>
      <c r="C39" s="115">
        <v>0</v>
      </c>
      <c r="D39" s="8">
        <f>4.03+0.743+0.093</f>
        <v>4.8660000000000005</v>
      </c>
      <c r="E39" s="383"/>
      <c r="F39" s="248"/>
      <c r="G39" s="371"/>
      <c r="H39" s="248"/>
      <c r="I39" s="4"/>
      <c r="J39" s="5"/>
      <c r="K39" s="4"/>
      <c r="L39" s="5"/>
      <c r="M39" s="4"/>
      <c r="N39" s="5"/>
    </row>
    <row r="40" spans="1:14" ht="15" customHeight="1">
      <c r="A40" s="370"/>
      <c r="B40" s="106" t="s">
        <v>95</v>
      </c>
      <c r="C40" s="115">
        <v>17.25</v>
      </c>
      <c r="D40" s="8">
        <v>45.412</v>
      </c>
      <c r="E40" s="383"/>
      <c r="F40" s="248"/>
      <c r="G40" s="371"/>
      <c r="H40" s="248"/>
      <c r="I40" s="4"/>
      <c r="J40" s="5"/>
      <c r="K40" s="4"/>
      <c r="L40" s="5"/>
      <c r="M40" s="4"/>
      <c r="N40" s="5"/>
    </row>
    <row r="41" spans="1:14" ht="12.75">
      <c r="A41" s="369" t="s">
        <v>25</v>
      </c>
      <c r="B41" s="106" t="s">
        <v>95</v>
      </c>
      <c r="C41" s="114">
        <v>3030</v>
      </c>
      <c r="D41" s="15">
        <v>9.104</v>
      </c>
      <c r="E41" s="382">
        <v>84</v>
      </c>
      <c r="F41" s="225">
        <v>25.76</v>
      </c>
      <c r="G41" s="229">
        <f>317*84</f>
        <v>26628</v>
      </c>
      <c r="H41" s="225">
        <v>12.33</v>
      </c>
      <c r="I41" s="4"/>
      <c r="J41" s="5"/>
      <c r="K41" s="4"/>
      <c r="L41" s="5"/>
      <c r="M41" s="4"/>
      <c r="N41" s="5"/>
    </row>
    <row r="42" spans="1:14" ht="15" customHeight="1" thickBot="1">
      <c r="A42" s="370"/>
      <c r="B42" s="108" t="s">
        <v>96</v>
      </c>
      <c r="C42" s="115">
        <v>0</v>
      </c>
      <c r="D42" s="8">
        <v>4.866</v>
      </c>
      <c r="E42" s="383"/>
      <c r="F42" s="248"/>
      <c r="G42" s="371"/>
      <c r="H42" s="248"/>
      <c r="I42" s="4"/>
      <c r="J42" s="5"/>
      <c r="K42" s="4"/>
      <c r="L42" s="5"/>
      <c r="M42" s="4"/>
      <c r="N42" s="5"/>
    </row>
    <row r="43" spans="1:14" ht="15" customHeight="1" thickBot="1">
      <c r="A43" s="370"/>
      <c r="B43" s="106" t="s">
        <v>95</v>
      </c>
      <c r="C43" s="115">
        <v>17.25</v>
      </c>
      <c r="D43" s="8">
        <v>45.412</v>
      </c>
      <c r="E43" s="383"/>
      <c r="F43" s="248"/>
      <c r="G43" s="371"/>
      <c r="H43" s="248"/>
      <c r="I43" s="14"/>
      <c r="J43" s="15"/>
      <c r="K43" s="14"/>
      <c r="L43" s="15"/>
      <c r="M43" s="14"/>
      <c r="N43" s="15"/>
    </row>
    <row r="44" spans="1:14" ht="12.75">
      <c r="A44" s="392" t="s">
        <v>26</v>
      </c>
      <c r="B44" s="214" t="s">
        <v>95</v>
      </c>
      <c r="C44" s="77">
        <v>3870</v>
      </c>
      <c r="D44" s="77">
        <v>9.104</v>
      </c>
      <c r="E44" s="401">
        <v>52</v>
      </c>
      <c r="F44" s="403">
        <v>25.76</v>
      </c>
      <c r="G44" s="405">
        <f>317*84</f>
        <v>26628</v>
      </c>
      <c r="H44" s="387">
        <v>12.33</v>
      </c>
      <c r="I44" s="193"/>
      <c r="J44" s="194"/>
      <c r="K44" s="193"/>
      <c r="L44" s="194"/>
      <c r="M44" s="193"/>
      <c r="N44" s="194"/>
    </row>
    <row r="45" spans="1:14" ht="15" customHeight="1" thickBot="1">
      <c r="A45" s="393"/>
      <c r="B45" s="216" t="s">
        <v>96</v>
      </c>
      <c r="C45" s="78">
        <v>0</v>
      </c>
      <c r="D45" s="78">
        <v>4.866</v>
      </c>
      <c r="E45" s="265"/>
      <c r="F45" s="248"/>
      <c r="G45" s="371"/>
      <c r="H45" s="368"/>
      <c r="I45" s="221"/>
      <c r="J45" s="124"/>
      <c r="K45" s="221"/>
      <c r="L45" s="124"/>
      <c r="M45" s="221"/>
      <c r="N45" s="124"/>
    </row>
    <row r="46" spans="1:14" ht="15" customHeight="1" thickBot="1">
      <c r="A46" s="394"/>
      <c r="B46" s="217" t="s">
        <v>95</v>
      </c>
      <c r="C46" s="159">
        <v>17.25</v>
      </c>
      <c r="D46" s="159">
        <v>45.412</v>
      </c>
      <c r="E46" s="402"/>
      <c r="F46" s="404"/>
      <c r="G46" s="406"/>
      <c r="H46" s="388"/>
      <c r="I46" s="222"/>
      <c r="J46" s="125"/>
      <c r="K46" s="222"/>
      <c r="L46" s="125"/>
      <c r="M46" s="222"/>
      <c r="N46" s="12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56" t="s">
        <v>32</v>
      </c>
      <c r="B48" s="256"/>
      <c r="C48" s="256"/>
      <c r="D48" s="25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1"/>
      <c r="J49" s="1"/>
      <c r="K49" s="1" t="s">
        <v>118</v>
      </c>
      <c r="L49" s="1"/>
      <c r="M49" s="1"/>
      <c r="N49" s="33"/>
    </row>
    <row r="50" spans="1:14" s="37" customFormat="1" ht="12.75">
      <c r="A50" s="33"/>
      <c r="B50" s="256" t="s">
        <v>35</v>
      </c>
      <c r="C50" s="256"/>
      <c r="D50" s="256"/>
      <c r="E50" s="257"/>
      <c r="F50" s="33"/>
      <c r="G50" s="33"/>
      <c r="H50" s="33"/>
      <c r="I50" s="1"/>
      <c r="J50" s="1"/>
      <c r="K50" s="1" t="s">
        <v>119</v>
      </c>
      <c r="L50" s="1"/>
      <c r="M50" s="1"/>
      <c r="N50" s="33"/>
    </row>
    <row r="51" spans="1:14" s="37" customFormat="1" ht="12.75">
      <c r="A51" s="33"/>
      <c r="B51" s="256" t="s">
        <v>34</v>
      </c>
      <c r="C51" s="256"/>
      <c r="D51" s="25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sheetProtection/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H32:H34"/>
    <mergeCell ref="E32:E34"/>
    <mergeCell ref="F32:F34"/>
    <mergeCell ref="A35:A37"/>
    <mergeCell ref="F35:F37"/>
    <mergeCell ref="G35:G37"/>
    <mergeCell ref="H35:H37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H11:H13"/>
    <mergeCell ref="G14:G16"/>
    <mergeCell ref="H14:H16"/>
    <mergeCell ref="I1:K1"/>
    <mergeCell ref="I2:K2"/>
    <mergeCell ref="I3:K3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A11:A13"/>
    <mergeCell ref="I9:J9"/>
    <mergeCell ref="E9:E10"/>
    <mergeCell ref="F9:F10"/>
    <mergeCell ref="G9:H9"/>
    <mergeCell ref="A14:A16"/>
    <mergeCell ref="F14:F16"/>
    <mergeCell ref="E14:E16"/>
    <mergeCell ref="F11:F13"/>
    <mergeCell ref="G11:G13"/>
    <mergeCell ref="A20:A22"/>
    <mergeCell ref="E20:E22"/>
    <mergeCell ref="F20:F22"/>
    <mergeCell ref="G20:G22"/>
    <mergeCell ref="B50:E50"/>
    <mergeCell ref="B51:D51"/>
    <mergeCell ref="G41:G43"/>
    <mergeCell ref="A32:A34"/>
    <mergeCell ref="G32:G34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E35:E37"/>
    <mergeCell ref="H38:H40"/>
    <mergeCell ref="A38:A40"/>
    <mergeCell ref="E38:E40"/>
    <mergeCell ref="F38:F40"/>
    <mergeCell ref="G38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view="pageLayout" workbookViewId="0" topLeftCell="A37">
      <selection activeCell="I35" sqref="I35:M36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00" t="s">
        <v>29</v>
      </c>
      <c r="J1" s="400"/>
      <c r="K1" s="400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00" t="s">
        <v>2</v>
      </c>
      <c r="J2" s="400"/>
      <c r="K2" s="400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00" t="s">
        <v>3</v>
      </c>
      <c r="J3" s="400"/>
      <c r="K3" s="400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110</v>
      </c>
      <c r="J4" s="27"/>
      <c r="K4" s="27"/>
      <c r="L4" s="43" t="s">
        <v>111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408" t="s">
        <v>27</v>
      </c>
      <c r="H9" s="409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9" t="s">
        <v>16</v>
      </c>
      <c r="B11" s="99" t="s">
        <v>95</v>
      </c>
      <c r="C11" s="87">
        <v>3270</v>
      </c>
      <c r="D11" s="6">
        <f>5.25+2.599+0.093</f>
        <v>7.942</v>
      </c>
      <c r="E11" s="252">
        <v>149</v>
      </c>
      <c r="F11" s="247">
        <v>22.89</v>
      </c>
      <c r="G11" s="261">
        <f>150*84</f>
        <v>12600</v>
      </c>
      <c r="H11" s="237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80"/>
      <c r="B12" s="102" t="s">
        <v>115</v>
      </c>
      <c r="C12" s="113">
        <v>17.25</v>
      </c>
      <c r="D12" s="22">
        <v>45.412</v>
      </c>
      <c r="E12" s="377"/>
      <c r="F12" s="226"/>
      <c r="G12" s="230"/>
      <c r="H12" s="232"/>
      <c r="I12" s="21"/>
      <c r="J12" s="22"/>
      <c r="K12" s="21"/>
      <c r="L12" s="22"/>
      <c r="M12" s="21"/>
      <c r="N12" s="22"/>
    </row>
    <row r="13" spans="1:14" ht="15" customHeight="1" thickTop="1">
      <c r="A13" s="369" t="s">
        <v>17</v>
      </c>
      <c r="B13" s="104" t="s">
        <v>95</v>
      </c>
      <c r="C13" s="115">
        <v>2280</v>
      </c>
      <c r="D13" s="6">
        <f>5.25+2.599+0.093</f>
        <v>7.942</v>
      </c>
      <c r="E13" s="382">
        <f>100</f>
        <v>100</v>
      </c>
      <c r="F13" s="225">
        <v>22.89</v>
      </c>
      <c r="G13" s="229">
        <f>150*84</f>
        <v>12600</v>
      </c>
      <c r="H13" s="231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80"/>
      <c r="B14" s="104" t="s">
        <v>96</v>
      </c>
      <c r="C14" s="115">
        <v>17.25</v>
      </c>
      <c r="D14" s="22">
        <v>45.412</v>
      </c>
      <c r="E14" s="377"/>
      <c r="F14" s="226"/>
      <c r="G14" s="230"/>
      <c r="H14" s="232"/>
      <c r="I14" s="7"/>
      <c r="J14" s="8"/>
      <c r="K14" s="7"/>
      <c r="L14" s="8"/>
      <c r="M14" s="7"/>
      <c r="N14" s="8"/>
    </row>
    <row r="15" spans="1:14" ht="15" customHeight="1" thickTop="1">
      <c r="A15" s="369" t="s">
        <v>18</v>
      </c>
      <c r="B15" s="106" t="s">
        <v>95</v>
      </c>
      <c r="C15" s="114">
        <v>2160</v>
      </c>
      <c r="D15" s="6">
        <f>5.25+2.599+0.093</f>
        <v>7.942</v>
      </c>
      <c r="E15" s="382">
        <v>135</v>
      </c>
      <c r="F15" s="225">
        <v>22.89</v>
      </c>
      <c r="G15" s="229">
        <f>150*84</f>
        <v>12600</v>
      </c>
      <c r="H15" s="231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80"/>
      <c r="B16" s="102" t="s">
        <v>96</v>
      </c>
      <c r="C16" s="113">
        <v>17.25</v>
      </c>
      <c r="D16" s="22">
        <v>45.412</v>
      </c>
      <c r="E16" s="377"/>
      <c r="F16" s="226"/>
      <c r="G16" s="230"/>
      <c r="H16" s="232"/>
      <c r="I16" s="21"/>
      <c r="J16" s="22"/>
      <c r="K16" s="21"/>
      <c r="L16" s="22"/>
      <c r="M16" s="21"/>
      <c r="N16" s="22"/>
    </row>
    <row r="17" spans="1:14" ht="15" customHeight="1" thickTop="1">
      <c r="A17" s="369" t="s">
        <v>19</v>
      </c>
      <c r="B17" s="106" t="s">
        <v>95</v>
      </c>
      <c r="C17" s="114">
        <v>1710</v>
      </c>
      <c r="D17" s="6">
        <f>5.25+2.599+0.093</f>
        <v>7.942</v>
      </c>
      <c r="E17" s="382">
        <v>131</v>
      </c>
      <c r="F17" s="225">
        <v>25.76</v>
      </c>
      <c r="G17" s="229">
        <f>150*84</f>
        <v>12600</v>
      </c>
      <c r="H17" s="231">
        <v>12.33</v>
      </c>
      <c r="I17" s="14"/>
      <c r="J17" s="15"/>
      <c r="K17" s="14"/>
      <c r="L17" s="15"/>
      <c r="M17" s="14"/>
      <c r="N17" s="15"/>
    </row>
    <row r="18" spans="1:14" ht="13.5" thickBot="1">
      <c r="A18" s="380"/>
      <c r="B18" s="102" t="s">
        <v>96</v>
      </c>
      <c r="C18" s="113">
        <v>17.25</v>
      </c>
      <c r="D18" s="22">
        <v>45.412</v>
      </c>
      <c r="E18" s="377"/>
      <c r="F18" s="226"/>
      <c r="G18" s="230"/>
      <c r="H18" s="232"/>
      <c r="I18" s="21"/>
      <c r="J18" s="22"/>
      <c r="K18" s="21"/>
      <c r="L18" s="22"/>
      <c r="M18" s="21"/>
      <c r="N18" s="22"/>
    </row>
    <row r="19" spans="1:14" ht="13.5" thickTop="1">
      <c r="A19" s="369" t="s">
        <v>20</v>
      </c>
      <c r="B19" s="106" t="s">
        <v>95</v>
      </c>
      <c r="C19" s="114">
        <v>720</v>
      </c>
      <c r="D19" s="6">
        <f>5.25+2.599+0.093</f>
        <v>7.942</v>
      </c>
      <c r="E19" s="382">
        <v>133</v>
      </c>
      <c r="F19" s="225">
        <v>25.76</v>
      </c>
      <c r="G19" s="229">
        <f>150*84</f>
        <v>12600</v>
      </c>
      <c r="H19" s="225">
        <v>12.33</v>
      </c>
      <c r="I19" s="14"/>
      <c r="J19" s="15"/>
      <c r="K19" s="14"/>
      <c r="L19" s="15"/>
      <c r="M19" s="14"/>
      <c r="N19" s="15"/>
    </row>
    <row r="20" spans="1:14" ht="13.5" thickBot="1">
      <c r="A20" s="380"/>
      <c r="B20" s="102" t="s">
        <v>96</v>
      </c>
      <c r="C20" s="113">
        <v>17.25</v>
      </c>
      <c r="D20" s="22">
        <v>45.412</v>
      </c>
      <c r="E20" s="377"/>
      <c r="F20" s="226"/>
      <c r="G20" s="230"/>
      <c r="H20" s="226"/>
      <c r="I20" s="21"/>
      <c r="J20" s="22"/>
      <c r="K20" s="21"/>
      <c r="L20" s="22"/>
      <c r="M20" s="21"/>
      <c r="N20" s="22"/>
    </row>
    <row r="21" spans="1:14" ht="13.5" thickTop="1">
      <c r="A21" s="369" t="s">
        <v>69</v>
      </c>
      <c r="B21" s="106" t="s">
        <v>95</v>
      </c>
      <c r="C21" s="114">
        <v>780</v>
      </c>
      <c r="D21" s="6">
        <f>5.25+2.599+0.093</f>
        <v>7.942</v>
      </c>
      <c r="E21" s="382">
        <v>144</v>
      </c>
      <c r="F21" s="225">
        <v>25.76</v>
      </c>
      <c r="G21" s="229">
        <f>150*84</f>
        <v>12600</v>
      </c>
      <c r="H21" s="225">
        <v>12.33</v>
      </c>
      <c r="I21" s="14"/>
      <c r="J21" s="15"/>
      <c r="K21" s="14"/>
      <c r="L21" s="15"/>
      <c r="M21" s="14"/>
      <c r="N21" s="15"/>
    </row>
    <row r="22" spans="1:14" ht="13.5" thickBot="1">
      <c r="A22" s="380"/>
      <c r="B22" s="102" t="s">
        <v>96</v>
      </c>
      <c r="C22" s="113">
        <v>17.25</v>
      </c>
      <c r="D22" s="22">
        <v>45.412</v>
      </c>
      <c r="E22" s="377"/>
      <c r="F22" s="226"/>
      <c r="G22" s="230"/>
      <c r="H22" s="226"/>
      <c r="I22" s="21"/>
      <c r="J22" s="22"/>
      <c r="K22" s="21"/>
      <c r="L22" s="22"/>
      <c r="M22" s="21"/>
      <c r="N22" s="22"/>
    </row>
    <row r="23" spans="1:14" ht="13.5" thickTop="1">
      <c r="A23" s="369" t="s">
        <v>70</v>
      </c>
      <c r="B23" s="106" t="s">
        <v>95</v>
      </c>
      <c r="C23" s="114">
        <v>750</v>
      </c>
      <c r="D23" s="6">
        <f>5.25+2.599+0.093</f>
        <v>7.942</v>
      </c>
      <c r="E23" s="382">
        <v>160</v>
      </c>
      <c r="F23" s="225">
        <v>25.76</v>
      </c>
      <c r="G23" s="229">
        <f>150*84</f>
        <v>12600</v>
      </c>
      <c r="H23" s="225">
        <v>12.33</v>
      </c>
      <c r="I23" s="14"/>
      <c r="J23" s="15"/>
      <c r="K23" s="14"/>
      <c r="L23" s="15"/>
      <c r="M23" s="14"/>
      <c r="N23" s="15"/>
    </row>
    <row r="24" spans="1:14" ht="12.75">
      <c r="A24" s="380"/>
      <c r="B24" s="102" t="s">
        <v>96</v>
      </c>
      <c r="C24" s="113">
        <v>17.25</v>
      </c>
      <c r="D24" s="22">
        <v>45.412</v>
      </c>
      <c r="E24" s="377"/>
      <c r="F24" s="226"/>
      <c r="G24" s="230"/>
      <c r="H24" s="226"/>
      <c r="I24" s="21"/>
      <c r="J24" s="22"/>
      <c r="K24" s="21"/>
      <c r="L24" s="22"/>
      <c r="M24" s="21"/>
      <c r="N24" s="22"/>
    </row>
    <row r="25" spans="1:14" ht="12.75">
      <c r="A25" s="369" t="s">
        <v>22</v>
      </c>
      <c r="B25" s="106" t="s">
        <v>95</v>
      </c>
      <c r="C25" s="114">
        <v>840</v>
      </c>
      <c r="D25" s="15">
        <f>5.37+2.599+0.093</f>
        <v>8.062000000000001</v>
      </c>
      <c r="E25" s="382">
        <v>217</v>
      </c>
      <c r="F25" s="225">
        <v>25.76</v>
      </c>
      <c r="G25" s="229">
        <v>12600</v>
      </c>
      <c r="H25" s="225">
        <v>12.33</v>
      </c>
      <c r="I25" s="21"/>
      <c r="J25" s="22"/>
      <c r="K25" s="21"/>
      <c r="L25" s="22"/>
      <c r="M25" s="21"/>
      <c r="N25" s="22"/>
    </row>
    <row r="26" spans="1:14" ht="12.75">
      <c r="A26" s="380"/>
      <c r="B26" s="102" t="s">
        <v>96</v>
      </c>
      <c r="C26" s="113">
        <v>17.25</v>
      </c>
      <c r="D26" s="22">
        <v>45.412</v>
      </c>
      <c r="E26" s="377"/>
      <c r="F26" s="226"/>
      <c r="G26" s="230"/>
      <c r="H26" s="226"/>
      <c r="I26" s="4"/>
      <c r="J26" s="5"/>
      <c r="K26" s="4"/>
      <c r="L26" s="5"/>
      <c r="M26" s="4"/>
      <c r="N26" s="5"/>
    </row>
    <row r="27" spans="1:14" ht="12.75">
      <c r="A27" s="369" t="s">
        <v>23</v>
      </c>
      <c r="B27" s="106" t="s">
        <v>95</v>
      </c>
      <c r="C27" s="114">
        <v>960</v>
      </c>
      <c r="D27" s="15">
        <f>5.37+2.599+0.093</f>
        <v>8.062000000000001</v>
      </c>
      <c r="E27" s="382">
        <v>216</v>
      </c>
      <c r="F27" s="225">
        <v>25.76</v>
      </c>
      <c r="G27" s="229">
        <f>12600</f>
        <v>12600</v>
      </c>
      <c r="H27" s="225">
        <v>12.33</v>
      </c>
      <c r="I27" s="4"/>
      <c r="J27" s="5"/>
      <c r="K27" s="4"/>
      <c r="L27" s="5"/>
      <c r="M27" s="4"/>
      <c r="N27" s="5"/>
    </row>
    <row r="28" spans="1:14" ht="12.75">
      <c r="A28" s="380"/>
      <c r="B28" s="102" t="s">
        <v>96</v>
      </c>
      <c r="C28" s="113">
        <v>17.25</v>
      </c>
      <c r="D28" s="22">
        <v>45.412</v>
      </c>
      <c r="E28" s="377"/>
      <c r="F28" s="226"/>
      <c r="G28" s="230"/>
      <c r="H28" s="226"/>
      <c r="I28" s="4"/>
      <c r="J28" s="5"/>
      <c r="K28" s="4"/>
      <c r="L28" s="5"/>
      <c r="M28" s="4"/>
      <c r="N28" s="5"/>
    </row>
    <row r="29" spans="1:14" ht="12.75">
      <c r="A29" s="369" t="s">
        <v>24</v>
      </c>
      <c r="B29" s="106" t="s">
        <v>95</v>
      </c>
      <c r="C29" s="114">
        <v>1680</v>
      </c>
      <c r="D29" s="15">
        <f>5.37+2.599+0.093</f>
        <v>8.062000000000001</v>
      </c>
      <c r="E29" s="382">
        <v>160</v>
      </c>
      <c r="F29" s="225">
        <v>25.76</v>
      </c>
      <c r="G29" s="229">
        <f>150*84</f>
        <v>12600</v>
      </c>
      <c r="H29" s="225">
        <v>12.33</v>
      </c>
      <c r="I29" s="4"/>
      <c r="J29" s="5"/>
      <c r="K29" s="4"/>
      <c r="L29" s="5"/>
      <c r="M29" s="4"/>
      <c r="N29" s="5"/>
    </row>
    <row r="30" spans="1:14" ht="12.75">
      <c r="A30" s="380"/>
      <c r="B30" s="102" t="s">
        <v>96</v>
      </c>
      <c r="C30" s="113">
        <v>17.25</v>
      </c>
      <c r="D30" s="22">
        <v>45.412</v>
      </c>
      <c r="E30" s="377"/>
      <c r="F30" s="226"/>
      <c r="G30" s="230"/>
      <c r="H30" s="226"/>
      <c r="I30" s="4"/>
      <c r="J30" s="5"/>
      <c r="K30" s="4"/>
      <c r="L30" s="5"/>
      <c r="M30" s="4"/>
      <c r="N30" s="5"/>
    </row>
    <row r="31" spans="1:14" ht="12.75">
      <c r="A31" s="369" t="s">
        <v>25</v>
      </c>
      <c r="B31" s="106" t="s">
        <v>95</v>
      </c>
      <c r="C31" s="114">
        <v>1470</v>
      </c>
      <c r="D31" s="15">
        <v>8.062</v>
      </c>
      <c r="E31" s="382">
        <v>276</v>
      </c>
      <c r="F31" s="225">
        <v>25.76</v>
      </c>
      <c r="G31" s="229">
        <f>150*84</f>
        <v>12600</v>
      </c>
      <c r="H31" s="225">
        <v>12.33</v>
      </c>
      <c r="I31" s="4"/>
      <c r="J31" s="5"/>
      <c r="K31" s="4"/>
      <c r="L31" s="5"/>
      <c r="M31" s="4"/>
      <c r="N31" s="5"/>
    </row>
    <row r="32" spans="1:14" ht="12.75">
      <c r="A32" s="380"/>
      <c r="B32" s="102" t="s">
        <v>96</v>
      </c>
      <c r="C32" s="113">
        <v>17.25</v>
      </c>
      <c r="D32" s="22">
        <v>45.412</v>
      </c>
      <c r="E32" s="377"/>
      <c r="F32" s="226"/>
      <c r="G32" s="230"/>
      <c r="H32" s="226"/>
      <c r="I32" s="4"/>
      <c r="J32" s="5"/>
      <c r="K32" s="4"/>
      <c r="L32" s="5"/>
      <c r="M32" s="4"/>
      <c r="N32" s="5"/>
    </row>
    <row r="33" spans="1:14" ht="12.75">
      <c r="A33" s="369" t="s">
        <v>26</v>
      </c>
      <c r="B33" s="106" t="s">
        <v>95</v>
      </c>
      <c r="C33" s="114">
        <v>1980</v>
      </c>
      <c r="D33" s="15">
        <v>8.062</v>
      </c>
      <c r="E33" s="382">
        <v>210</v>
      </c>
      <c r="F33" s="225">
        <v>25.76</v>
      </c>
      <c r="G33" s="229">
        <f>150*84</f>
        <v>12600</v>
      </c>
      <c r="H33" s="225">
        <v>12.33</v>
      </c>
      <c r="I33" s="14"/>
      <c r="J33" s="15"/>
      <c r="K33" s="14"/>
      <c r="L33" s="15"/>
      <c r="M33" s="14"/>
      <c r="N33" s="15"/>
    </row>
    <row r="34" spans="1:14" ht="13.5" thickBot="1">
      <c r="A34" s="407"/>
      <c r="B34" s="108" t="s">
        <v>96</v>
      </c>
      <c r="C34" s="113">
        <v>17.25</v>
      </c>
      <c r="D34" s="22">
        <v>45.412</v>
      </c>
      <c r="E34" s="253"/>
      <c r="F34" s="254"/>
      <c r="G34" s="268"/>
      <c r="H34" s="254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 t="s">
        <v>118</v>
      </c>
      <c r="L35" s="1"/>
      <c r="M35" s="1"/>
      <c r="N35" s="1"/>
    </row>
    <row r="36" spans="1:14" s="37" customFormat="1" ht="12.75">
      <c r="A36" s="256"/>
      <c r="B36" s="256"/>
      <c r="C36" s="256"/>
      <c r="D36" s="257"/>
      <c r="E36" s="33"/>
      <c r="F36" s="33"/>
      <c r="G36" s="33"/>
      <c r="H36" s="33"/>
      <c r="I36" s="1"/>
      <c r="J36" s="1"/>
      <c r="K36" s="1" t="s">
        <v>119</v>
      </c>
      <c r="L36" s="1"/>
      <c r="M36" s="1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56"/>
      <c r="C38" s="256"/>
      <c r="D38" s="256"/>
      <c r="E38" s="25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56"/>
      <c r="C39" s="256"/>
      <c r="D39" s="25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H17:H18"/>
    <mergeCell ref="H33:H34"/>
    <mergeCell ref="G31:G32"/>
    <mergeCell ref="E33:E34"/>
    <mergeCell ref="F33:F34"/>
    <mergeCell ref="G33:G34"/>
    <mergeCell ref="H23:H24"/>
    <mergeCell ref="F23:F24"/>
    <mergeCell ref="G23:G24"/>
    <mergeCell ref="A25:A26"/>
    <mergeCell ref="G25:G26"/>
    <mergeCell ref="H25:H26"/>
    <mergeCell ref="E25:E26"/>
    <mergeCell ref="F25:F26"/>
    <mergeCell ref="F9:F10"/>
    <mergeCell ref="G9:H9"/>
    <mergeCell ref="A11:A12"/>
    <mergeCell ref="A13:A14"/>
    <mergeCell ref="A15:A16"/>
    <mergeCell ref="E15:E16"/>
    <mergeCell ref="B9:C10"/>
    <mergeCell ref="G13:G14"/>
    <mergeCell ref="H13:H14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A19:A20"/>
    <mergeCell ref="E19:E20"/>
    <mergeCell ref="A21:A22"/>
    <mergeCell ref="E21:E22"/>
    <mergeCell ref="A17:A18"/>
    <mergeCell ref="E17:E18"/>
    <mergeCell ref="A27:A28"/>
    <mergeCell ref="G27:G28"/>
    <mergeCell ref="H27:H28"/>
    <mergeCell ref="E27:E28"/>
    <mergeCell ref="F27:F28"/>
    <mergeCell ref="F21:F22"/>
    <mergeCell ref="G21:G22"/>
    <mergeCell ref="H21:H22"/>
    <mergeCell ref="A23:A24"/>
    <mergeCell ref="E23:E24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7">
      <selection activeCell="I54" sqref="I54:M55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00" t="s">
        <v>29</v>
      </c>
      <c r="J1" s="400"/>
      <c r="K1" s="400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00" t="s">
        <v>2</v>
      </c>
      <c r="J2" s="400"/>
      <c r="K2" s="400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00" t="s">
        <v>3</v>
      </c>
      <c r="J3" s="400"/>
      <c r="K3" s="4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38" t="s">
        <v>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3.5" thickBo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4" ht="16.5" thickBot="1" thickTop="1">
      <c r="A8" s="249" t="s">
        <v>6</v>
      </c>
      <c r="B8" s="258" t="s">
        <v>7</v>
      </c>
      <c r="C8" s="259"/>
      <c r="D8" s="260"/>
      <c r="E8" s="258" t="s">
        <v>11</v>
      </c>
      <c r="F8" s="260"/>
      <c r="G8" s="244" t="s">
        <v>15</v>
      </c>
      <c r="H8" s="245"/>
      <c r="I8" s="245"/>
      <c r="J8" s="245"/>
      <c r="K8" s="245"/>
      <c r="L8" s="245"/>
      <c r="M8" s="245"/>
      <c r="N8" s="246"/>
    </row>
    <row r="9" spans="1:14" ht="13.5" thickTop="1">
      <c r="A9" s="250"/>
      <c r="B9" s="263" t="s">
        <v>8</v>
      </c>
      <c r="C9" s="262"/>
      <c r="D9" s="247" t="s">
        <v>9</v>
      </c>
      <c r="E9" s="252" t="s">
        <v>10</v>
      </c>
      <c r="F9" s="247" t="s">
        <v>9</v>
      </c>
      <c r="G9" s="235" t="s">
        <v>27</v>
      </c>
      <c r="H9" s="236"/>
      <c r="I9" s="233" t="s">
        <v>28</v>
      </c>
      <c r="J9" s="234"/>
      <c r="K9" s="233" t="s">
        <v>13</v>
      </c>
      <c r="L9" s="234"/>
      <c r="M9" s="233" t="s">
        <v>14</v>
      </c>
      <c r="N9" s="234"/>
    </row>
    <row r="10" spans="1:14" ht="15" thickBot="1">
      <c r="A10" s="251"/>
      <c r="B10" s="386"/>
      <c r="C10" s="267"/>
      <c r="D10" s="254"/>
      <c r="E10" s="253"/>
      <c r="F10" s="25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9" t="s">
        <v>16</v>
      </c>
      <c r="B11" s="99" t="s">
        <v>95</v>
      </c>
      <c r="C11" s="87">
        <v>4053</v>
      </c>
      <c r="D11" s="6">
        <f>5.91+2.352+0.093</f>
        <v>8.355</v>
      </c>
      <c r="E11" s="252">
        <v>29</v>
      </c>
      <c r="F11" s="247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70"/>
      <c r="B12" s="104" t="s">
        <v>102</v>
      </c>
      <c r="C12" s="115">
        <v>1547</v>
      </c>
      <c r="D12" s="8">
        <f>3.94+0.784+0.093</f>
        <v>4.817</v>
      </c>
      <c r="E12" s="383"/>
      <c r="F12" s="248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70"/>
      <c r="B13" s="104" t="s">
        <v>116</v>
      </c>
      <c r="C13" s="115">
        <v>1926</v>
      </c>
      <c r="D13" s="8">
        <v>581.27</v>
      </c>
      <c r="E13" s="383"/>
      <c r="F13" s="248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80"/>
      <c r="B14" s="102" t="s">
        <v>115</v>
      </c>
      <c r="C14" s="113">
        <v>21.1</v>
      </c>
      <c r="D14" s="22">
        <v>145.317</v>
      </c>
      <c r="E14" s="377"/>
      <c r="F14" s="226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69" t="s">
        <v>17</v>
      </c>
      <c r="B15" s="99" t="s">
        <v>95</v>
      </c>
      <c r="C15" s="114">
        <v>4218</v>
      </c>
      <c r="D15" s="6">
        <f>5.91+2.352+0.093</f>
        <v>8.355</v>
      </c>
      <c r="E15" s="382">
        <v>20</v>
      </c>
      <c r="F15" s="231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70"/>
      <c r="B16" s="104" t="s">
        <v>102</v>
      </c>
      <c r="C16" s="115">
        <v>1822</v>
      </c>
      <c r="D16" s="8">
        <f>3.94+0.784+0.093</f>
        <v>4.817</v>
      </c>
      <c r="E16" s="383"/>
      <c r="F16" s="398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70"/>
      <c r="B17" s="104" t="s">
        <v>116</v>
      </c>
      <c r="C17" s="115">
        <v>1438</v>
      </c>
      <c r="D17" s="8">
        <v>581.27</v>
      </c>
      <c r="E17" s="383"/>
      <c r="F17" s="398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80"/>
      <c r="B18" s="102" t="s">
        <v>115</v>
      </c>
      <c r="C18" s="113">
        <v>21.1</v>
      </c>
      <c r="D18" s="22">
        <v>145.317</v>
      </c>
      <c r="E18" s="377"/>
      <c r="F18" s="232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69" t="s">
        <v>18</v>
      </c>
      <c r="B19" s="99" t="s">
        <v>95</v>
      </c>
      <c r="C19" s="114">
        <v>4107</v>
      </c>
      <c r="D19" s="6">
        <f>5.91+2.352+0.093</f>
        <v>8.355</v>
      </c>
      <c r="E19" s="382">
        <v>26</v>
      </c>
      <c r="F19" s="231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70"/>
      <c r="B20" s="104" t="s">
        <v>102</v>
      </c>
      <c r="C20" s="115">
        <v>1684</v>
      </c>
      <c r="D20" s="8">
        <f>3.94+0.784+0.093</f>
        <v>4.817</v>
      </c>
      <c r="E20" s="383"/>
      <c r="F20" s="398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70"/>
      <c r="B21" s="104" t="s">
        <v>116</v>
      </c>
      <c r="C21" s="115">
        <v>0</v>
      </c>
      <c r="D21" s="8">
        <v>581.27</v>
      </c>
      <c r="E21" s="383"/>
      <c r="F21" s="398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80"/>
      <c r="B22" s="102" t="s">
        <v>115</v>
      </c>
      <c r="C22" s="113">
        <v>21.1</v>
      </c>
      <c r="D22" s="22">
        <v>145.317</v>
      </c>
      <c r="E22" s="377"/>
      <c r="F22" s="232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69" t="s">
        <v>19</v>
      </c>
      <c r="B23" s="99" t="s">
        <v>95</v>
      </c>
      <c r="C23" s="114">
        <v>2208</v>
      </c>
      <c r="D23" s="6">
        <f>5.91+2.352+0.093</f>
        <v>8.355</v>
      </c>
      <c r="E23" s="382">
        <v>18</v>
      </c>
      <c r="F23" s="231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70"/>
      <c r="B24" s="104" t="s">
        <v>102</v>
      </c>
      <c r="C24" s="115">
        <v>750</v>
      </c>
      <c r="D24" s="8">
        <f>3.94+0.784+0.093</f>
        <v>4.817</v>
      </c>
      <c r="E24" s="383"/>
      <c r="F24" s="398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70"/>
      <c r="B25" s="104" t="s">
        <v>116</v>
      </c>
      <c r="C25" s="115">
        <v>0</v>
      </c>
      <c r="D25" s="8">
        <v>581.27</v>
      </c>
      <c r="E25" s="383"/>
      <c r="F25" s="398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80"/>
      <c r="B26" s="102" t="s">
        <v>115</v>
      </c>
      <c r="C26" s="113">
        <v>21.1</v>
      </c>
      <c r="D26" s="22">
        <v>145.317</v>
      </c>
      <c r="E26" s="377"/>
      <c r="F26" s="232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369" t="s">
        <v>20</v>
      </c>
      <c r="B27" s="99" t="s">
        <v>95</v>
      </c>
      <c r="C27" s="114">
        <v>779</v>
      </c>
      <c r="D27" s="6">
        <f>5.91+2.352+0.093</f>
        <v>8.355</v>
      </c>
      <c r="E27" s="382">
        <v>31</v>
      </c>
      <c r="F27" s="231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70"/>
      <c r="B28" s="104" t="s">
        <v>102</v>
      </c>
      <c r="C28" s="115">
        <v>122</v>
      </c>
      <c r="D28" s="8">
        <f>3.94+0.784+0.093</f>
        <v>4.817</v>
      </c>
      <c r="E28" s="383"/>
      <c r="F28" s="398"/>
      <c r="G28" s="23"/>
      <c r="H28" s="24"/>
      <c r="I28" s="7"/>
      <c r="J28" s="8"/>
      <c r="K28" s="7"/>
      <c r="L28" s="8"/>
      <c r="M28" s="7"/>
      <c r="N28" s="8"/>
    </row>
    <row r="29" spans="1:14" ht="12.75">
      <c r="A29" s="370"/>
      <c r="B29" s="104" t="s">
        <v>116</v>
      </c>
      <c r="C29" s="115">
        <v>0</v>
      </c>
      <c r="D29" s="8">
        <v>581.27</v>
      </c>
      <c r="E29" s="383"/>
      <c r="F29" s="398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80"/>
      <c r="B30" s="102" t="s">
        <v>115</v>
      </c>
      <c r="C30" s="113">
        <v>21.1</v>
      </c>
      <c r="D30" s="22">
        <v>145.317</v>
      </c>
      <c r="E30" s="377"/>
      <c r="F30" s="232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369" t="s">
        <v>69</v>
      </c>
      <c r="B31" s="99" t="s">
        <v>95</v>
      </c>
      <c r="C31" s="114">
        <v>673</v>
      </c>
      <c r="D31" s="6">
        <f>5.91+2.352+0.093</f>
        <v>8.355</v>
      </c>
      <c r="E31" s="382">
        <v>26</v>
      </c>
      <c r="F31" s="231">
        <v>25.76</v>
      </c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70"/>
      <c r="B32" s="104" t="s">
        <v>102</v>
      </c>
      <c r="C32" s="115">
        <v>100</v>
      </c>
      <c r="D32" s="8">
        <f>3.94+0.784+0.093</f>
        <v>4.817</v>
      </c>
      <c r="E32" s="383"/>
      <c r="F32" s="398"/>
      <c r="G32" s="23"/>
      <c r="H32" s="24"/>
      <c r="I32" s="7"/>
      <c r="J32" s="8"/>
      <c r="K32" s="7"/>
      <c r="L32" s="8"/>
      <c r="M32" s="7"/>
      <c r="N32" s="8"/>
    </row>
    <row r="33" spans="1:14" ht="12.75">
      <c r="A33" s="370"/>
      <c r="B33" s="104" t="s">
        <v>116</v>
      </c>
      <c r="C33" s="115">
        <v>0</v>
      </c>
      <c r="D33" s="8">
        <v>581.27</v>
      </c>
      <c r="E33" s="383"/>
      <c r="F33" s="398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80"/>
      <c r="B34" s="102" t="s">
        <v>115</v>
      </c>
      <c r="C34" s="113">
        <v>21.1</v>
      </c>
      <c r="D34" s="22">
        <v>145.317</v>
      </c>
      <c r="E34" s="377"/>
      <c r="F34" s="232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69" t="s">
        <v>70</v>
      </c>
      <c r="B35" s="106" t="s">
        <v>95</v>
      </c>
      <c r="C35" s="114">
        <v>499</v>
      </c>
      <c r="D35" s="6">
        <f>5.91+2.352+0.093</f>
        <v>8.355</v>
      </c>
      <c r="E35" s="382">
        <v>28</v>
      </c>
      <c r="F35" s="225">
        <v>25.76</v>
      </c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370"/>
      <c r="B36" s="102" t="s">
        <v>96</v>
      </c>
      <c r="C36" s="115">
        <v>88</v>
      </c>
      <c r="D36" s="8">
        <f>3.94+0.784+0.093</f>
        <v>4.817</v>
      </c>
      <c r="E36" s="383"/>
      <c r="F36" s="248"/>
      <c r="G36" s="23"/>
      <c r="H36" s="24"/>
      <c r="I36" s="7"/>
      <c r="J36" s="8"/>
      <c r="K36" s="7"/>
      <c r="L36" s="8"/>
      <c r="M36" s="7"/>
      <c r="N36" s="8"/>
    </row>
    <row r="37" spans="1:14" ht="12.75">
      <c r="A37" s="380"/>
      <c r="B37" s="102" t="s">
        <v>108</v>
      </c>
      <c r="C37" s="113">
        <v>21.1</v>
      </c>
      <c r="D37" s="22">
        <v>145.317</v>
      </c>
      <c r="E37" s="377"/>
      <c r="F37" s="226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369" t="s">
        <v>22</v>
      </c>
      <c r="B38" s="106" t="s">
        <v>95</v>
      </c>
      <c r="C38" s="114">
        <v>514</v>
      </c>
      <c r="D38" s="15">
        <f>6.04+2.352+0.093</f>
        <v>8.485</v>
      </c>
      <c r="E38" s="382">
        <v>26</v>
      </c>
      <c r="F38" s="225">
        <v>25.76</v>
      </c>
      <c r="G38" s="382"/>
      <c r="H38" s="225"/>
      <c r="I38" s="21"/>
      <c r="J38" s="22"/>
      <c r="K38" s="21"/>
      <c r="L38" s="22"/>
      <c r="M38" s="21"/>
      <c r="N38" s="22"/>
    </row>
    <row r="39" spans="1:14" ht="12.75">
      <c r="A39" s="370"/>
      <c r="B39" s="102" t="s">
        <v>96</v>
      </c>
      <c r="C39" s="115">
        <v>86</v>
      </c>
      <c r="D39" s="8">
        <f>4.03+0.784+0.093</f>
        <v>4.907</v>
      </c>
      <c r="E39" s="383"/>
      <c r="F39" s="248"/>
      <c r="G39" s="383"/>
      <c r="H39" s="248"/>
      <c r="I39" s="21"/>
      <c r="J39" s="22"/>
      <c r="K39" s="21"/>
      <c r="L39" s="22"/>
      <c r="M39" s="21"/>
      <c r="N39" s="22"/>
    </row>
    <row r="40" spans="1:14" ht="12.75">
      <c r="A40" s="380"/>
      <c r="B40" s="102" t="s">
        <v>108</v>
      </c>
      <c r="C40" s="113">
        <v>21.1</v>
      </c>
      <c r="D40" s="22">
        <v>145.317</v>
      </c>
      <c r="E40" s="377"/>
      <c r="F40" s="226"/>
      <c r="G40" s="377"/>
      <c r="H40" s="226"/>
      <c r="I40" s="4"/>
      <c r="J40" s="5"/>
      <c r="K40" s="4"/>
      <c r="L40" s="5"/>
      <c r="M40" s="4"/>
      <c r="N40" s="5"/>
    </row>
    <row r="41" spans="1:14" ht="12.75">
      <c r="A41" s="369" t="s">
        <v>23</v>
      </c>
      <c r="B41" s="106" t="s">
        <v>95</v>
      </c>
      <c r="C41" s="114">
        <v>602</v>
      </c>
      <c r="D41" s="15">
        <f>6.04+2.352+0.093</f>
        <v>8.485</v>
      </c>
      <c r="E41" s="382">
        <v>29</v>
      </c>
      <c r="F41" s="225">
        <v>25.76</v>
      </c>
      <c r="G41" s="21"/>
      <c r="H41" s="22"/>
      <c r="I41" s="4"/>
      <c r="J41" s="5"/>
      <c r="K41" s="4"/>
      <c r="L41" s="5"/>
      <c r="M41" s="4"/>
      <c r="N41" s="5"/>
    </row>
    <row r="42" spans="1:14" ht="12.75">
      <c r="A42" s="370"/>
      <c r="B42" s="102" t="s">
        <v>96</v>
      </c>
      <c r="C42" s="115">
        <v>111</v>
      </c>
      <c r="D42" s="8">
        <f>4.03+0.784+0.093</f>
        <v>4.907</v>
      </c>
      <c r="E42" s="383"/>
      <c r="F42" s="248"/>
      <c r="G42" s="21"/>
      <c r="H42" s="22"/>
      <c r="I42" s="4"/>
      <c r="J42" s="5"/>
      <c r="K42" s="4"/>
      <c r="L42" s="5"/>
      <c r="M42" s="4"/>
      <c r="N42" s="5"/>
    </row>
    <row r="43" spans="1:14" ht="12.75">
      <c r="A43" s="380"/>
      <c r="B43" s="102" t="s">
        <v>108</v>
      </c>
      <c r="C43" s="113">
        <v>21.11</v>
      </c>
      <c r="D43" s="22">
        <v>145.317</v>
      </c>
      <c r="E43" s="377"/>
      <c r="F43" s="226"/>
      <c r="G43" s="4"/>
      <c r="H43" s="5"/>
      <c r="I43" s="4"/>
      <c r="J43" s="5"/>
      <c r="K43" s="4"/>
      <c r="L43" s="5"/>
      <c r="M43" s="4"/>
      <c r="N43" s="5"/>
    </row>
    <row r="44" spans="1:14" ht="12.75">
      <c r="A44" s="369" t="s">
        <v>24</v>
      </c>
      <c r="B44" s="106" t="s">
        <v>95</v>
      </c>
      <c r="C44" s="114">
        <v>1935</v>
      </c>
      <c r="D44" s="15">
        <f>6.04+2.352+0.093</f>
        <v>8.485</v>
      </c>
      <c r="E44" s="382">
        <v>32</v>
      </c>
      <c r="F44" s="225">
        <v>25.76</v>
      </c>
      <c r="G44" s="4"/>
      <c r="H44" s="5"/>
      <c r="I44" s="4"/>
      <c r="J44" s="5"/>
      <c r="K44" s="4"/>
      <c r="L44" s="5"/>
      <c r="M44" s="4"/>
      <c r="N44" s="5"/>
    </row>
    <row r="45" spans="1:14" ht="12.75">
      <c r="A45" s="370"/>
      <c r="B45" s="102" t="s">
        <v>96</v>
      </c>
      <c r="C45" s="115">
        <v>701</v>
      </c>
      <c r="D45" s="8">
        <f>4.03+0.784+0.093</f>
        <v>4.907</v>
      </c>
      <c r="E45" s="383"/>
      <c r="F45" s="248"/>
      <c r="G45" s="4"/>
      <c r="H45" s="5"/>
      <c r="I45" s="4"/>
      <c r="J45" s="5"/>
      <c r="K45" s="4"/>
      <c r="L45" s="5"/>
      <c r="M45" s="4"/>
      <c r="N45" s="5"/>
    </row>
    <row r="46" spans="1:14" ht="12.75">
      <c r="A46" s="380"/>
      <c r="B46" s="102" t="s">
        <v>108</v>
      </c>
      <c r="C46" s="113">
        <v>21.1</v>
      </c>
      <c r="D46" s="22">
        <v>145.317</v>
      </c>
      <c r="E46" s="377"/>
      <c r="F46" s="226"/>
      <c r="G46" s="4"/>
      <c r="H46" s="5"/>
      <c r="I46" s="4"/>
      <c r="J46" s="5"/>
      <c r="K46" s="4"/>
      <c r="L46" s="5"/>
      <c r="M46" s="4"/>
      <c r="N46" s="5"/>
    </row>
    <row r="47" spans="1:14" ht="12.75">
      <c r="A47" s="369" t="s">
        <v>25</v>
      </c>
      <c r="B47" s="106" t="s">
        <v>95</v>
      </c>
      <c r="C47" s="114">
        <v>3338</v>
      </c>
      <c r="D47" s="15">
        <f>6.04+2.352+0.093</f>
        <v>8.485</v>
      </c>
      <c r="E47" s="382">
        <v>34</v>
      </c>
      <c r="F47" s="225">
        <v>25.76</v>
      </c>
      <c r="G47" s="4"/>
      <c r="H47" s="5"/>
      <c r="I47" s="4"/>
      <c r="J47" s="5"/>
      <c r="K47" s="4"/>
      <c r="L47" s="5"/>
      <c r="M47" s="4"/>
      <c r="N47" s="5"/>
    </row>
    <row r="48" spans="1:14" ht="12.75">
      <c r="A48" s="370"/>
      <c r="B48" s="102" t="s">
        <v>96</v>
      </c>
      <c r="C48" s="115">
        <v>1334</v>
      </c>
      <c r="D48" s="8">
        <f>4.03+0.784+0.093</f>
        <v>4.907</v>
      </c>
      <c r="E48" s="383"/>
      <c r="F48" s="248"/>
      <c r="G48" s="4"/>
      <c r="H48" s="5"/>
      <c r="I48" s="4"/>
      <c r="J48" s="5"/>
      <c r="K48" s="4"/>
      <c r="L48" s="5"/>
      <c r="M48" s="4"/>
      <c r="N48" s="5"/>
    </row>
    <row r="49" spans="1:14" ht="12.75">
      <c r="A49" s="380"/>
      <c r="B49" s="102" t="s">
        <v>108</v>
      </c>
      <c r="C49" s="113">
        <v>21.1</v>
      </c>
      <c r="D49" s="22">
        <v>145.317</v>
      </c>
      <c r="E49" s="377"/>
      <c r="F49" s="226"/>
      <c r="G49" s="4"/>
      <c r="H49" s="5"/>
      <c r="I49" s="4"/>
      <c r="J49" s="5"/>
      <c r="K49" s="4"/>
      <c r="L49" s="5"/>
      <c r="M49" s="4"/>
      <c r="N49" s="5"/>
    </row>
    <row r="50" spans="1:14" ht="12.75">
      <c r="A50" s="369" t="s">
        <v>26</v>
      </c>
      <c r="B50" s="106" t="s">
        <v>95</v>
      </c>
      <c r="C50" s="114">
        <v>5606</v>
      </c>
      <c r="D50" s="15">
        <f>6.04+2.352+0.093</f>
        <v>8.485</v>
      </c>
      <c r="E50" s="382">
        <v>27</v>
      </c>
      <c r="F50" s="225">
        <v>25.76</v>
      </c>
      <c r="G50" s="14"/>
      <c r="H50" s="15"/>
      <c r="I50" s="14"/>
      <c r="J50" s="15"/>
      <c r="K50" s="14"/>
      <c r="L50" s="15"/>
      <c r="M50" s="14"/>
      <c r="N50" s="15"/>
    </row>
    <row r="51" spans="1:14" ht="12.75">
      <c r="A51" s="370"/>
      <c r="B51" s="102" t="s">
        <v>96</v>
      </c>
      <c r="C51" s="115">
        <v>2458</v>
      </c>
      <c r="D51" s="8">
        <f>4.03+0.784+0.093</f>
        <v>4.907</v>
      </c>
      <c r="E51" s="383"/>
      <c r="F51" s="248"/>
      <c r="G51" s="14"/>
      <c r="H51" s="15"/>
      <c r="I51" s="14"/>
      <c r="J51" s="15"/>
      <c r="K51" s="14"/>
      <c r="L51" s="15"/>
      <c r="M51" s="14"/>
      <c r="N51" s="15"/>
    </row>
    <row r="52" spans="1:14" ht="13.5" thickBot="1">
      <c r="A52" s="407"/>
      <c r="B52" s="102" t="s">
        <v>108</v>
      </c>
      <c r="C52" s="113">
        <v>21.1</v>
      </c>
      <c r="D52" s="22">
        <v>145.317</v>
      </c>
      <c r="E52" s="253"/>
      <c r="F52" s="254"/>
      <c r="G52" s="2"/>
      <c r="H52" s="3"/>
      <c r="I52" s="2"/>
      <c r="J52" s="3"/>
      <c r="K52" s="2"/>
      <c r="L52" s="3"/>
      <c r="M52" s="2"/>
      <c r="N52" s="3"/>
    </row>
    <row r="53" spans="1:14" ht="17.2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2.75">
      <c r="A54" s="256" t="s">
        <v>32</v>
      </c>
      <c r="B54" s="256"/>
      <c r="C54" s="256"/>
      <c r="D54" s="257"/>
      <c r="E54" s="33"/>
      <c r="F54" s="33"/>
      <c r="G54" s="33"/>
      <c r="H54" s="33"/>
      <c r="I54" s="1"/>
      <c r="J54" s="1"/>
      <c r="K54" s="1" t="s">
        <v>118</v>
      </c>
      <c r="L54" s="1"/>
      <c r="M54" s="1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1"/>
      <c r="J55" s="1"/>
      <c r="K55" s="1" t="s">
        <v>119</v>
      </c>
      <c r="L55" s="1"/>
      <c r="M55" s="1"/>
      <c r="N55" s="33"/>
    </row>
    <row r="56" spans="1:14" s="37" customFormat="1" ht="12.75">
      <c r="A56" s="33"/>
      <c r="B56" s="256" t="s">
        <v>35</v>
      </c>
      <c r="C56" s="256"/>
      <c r="D56" s="256"/>
      <c r="E56" s="257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56" t="s">
        <v>34</v>
      </c>
      <c r="C57" s="256"/>
      <c r="D57" s="256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4.25">
      <c r="A58" s="26"/>
      <c r="B58" s="26"/>
      <c r="C58" s="26"/>
      <c r="D58" s="26"/>
      <c r="E58" s="26"/>
      <c r="F58" s="26"/>
      <c r="G58" s="26"/>
      <c r="H58" s="1"/>
      <c r="I58" s="1"/>
      <c r="J58" s="1"/>
      <c r="K58" s="1"/>
      <c r="L58" s="1"/>
      <c r="M58" s="1"/>
      <c r="N58" s="1"/>
    </row>
    <row r="59" spans="1:7" ht="14.25">
      <c r="A59" s="30"/>
      <c r="B59" s="30"/>
      <c r="C59" s="30"/>
      <c r="D59" s="30"/>
      <c r="E59" s="30"/>
      <c r="F59" s="30"/>
      <c r="G59" s="30"/>
    </row>
    <row r="60" spans="1:7" ht="14.25">
      <c r="A60" s="30"/>
      <c r="B60" s="30"/>
      <c r="C60" s="30"/>
      <c r="D60" s="30"/>
      <c r="E60" s="30"/>
      <c r="F60" s="30"/>
      <c r="G60" s="30"/>
    </row>
  </sheetData>
  <sheetProtection/>
  <mergeCells count="57">
    <mergeCell ref="G38:G40"/>
    <mergeCell ref="H38:H40"/>
    <mergeCell ref="E38:E40"/>
    <mergeCell ref="F38:F40"/>
    <mergeCell ref="A50:A52"/>
    <mergeCell ref="E50:E52"/>
    <mergeCell ref="F50:F52"/>
    <mergeCell ref="E47:E49"/>
    <mergeCell ref="F47:F49"/>
    <mergeCell ref="A47:A49"/>
    <mergeCell ref="A23:A26"/>
    <mergeCell ref="E23:E26"/>
    <mergeCell ref="A19:A22"/>
    <mergeCell ref="E19:E22"/>
    <mergeCell ref="F44:F46"/>
    <mergeCell ref="F19:F22"/>
    <mergeCell ref="F23:F26"/>
    <mergeCell ref="F31:F34"/>
    <mergeCell ref="F35:F37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7:D57"/>
    <mergeCell ref="A54:D54"/>
    <mergeCell ref="A31:A34"/>
    <mergeCell ref="E31:E34"/>
    <mergeCell ref="A35:A37"/>
    <mergeCell ref="E35:E37"/>
    <mergeCell ref="A44:A46"/>
    <mergeCell ref="E44:E46"/>
    <mergeCell ref="A38:A40"/>
    <mergeCell ref="A41:A43"/>
    <mergeCell ref="E41:E43"/>
    <mergeCell ref="F41:F43"/>
    <mergeCell ref="G9:H9"/>
    <mergeCell ref="B56:E56"/>
    <mergeCell ref="A11:A14"/>
    <mergeCell ref="A15:A18"/>
    <mergeCell ref="E11:E14"/>
    <mergeCell ref="F9:F10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Maja</cp:lastModifiedBy>
  <cp:lastPrinted>2016-01-25T07:57:11Z</cp:lastPrinted>
  <dcterms:created xsi:type="dcterms:W3CDTF">2013-02-08T07:46:47Z</dcterms:created>
  <dcterms:modified xsi:type="dcterms:W3CDTF">2016-01-25T08:01:35Z</dcterms:modified>
  <cp:category/>
  <cp:version/>
  <cp:contentType/>
  <cp:contentStatus/>
</cp:coreProperties>
</file>